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ha\Downloads\"/>
    </mc:Choice>
  </mc:AlternateContent>
  <xr:revisionPtr revIDLastSave="0" documentId="8_{587C4B6E-BAB4-4247-8ED3-B684A80DE4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geindtastning" sheetId="2" r:id="rId1"/>
    <sheet name="Træningsoverblik" sheetId="1" r:id="rId2"/>
    <sheet name="DASHBOARD" sheetId="4" state="hidden" r:id="rId3"/>
    <sheet name="FTP-niveauer og watt pr. kg" sheetId="10" r:id="rId4"/>
    <sheet name="Ekstra - Udfyld din profil" sheetId="13" r:id="rId5"/>
    <sheet name="Scenario med tid på Alpe d'Huez" sheetId="9" r:id="rId6"/>
    <sheet name="Forudsætninger og beregninger" sheetId="11" r:id="rId7"/>
    <sheet name="Beregninger" sheetId="3" r:id="rId8"/>
  </sheets>
  <definedNames>
    <definedName name="_xlnm.Print_Area" localSheetId="4">'Ekstra - Udfyld din profil'!$A$1:$K$37</definedName>
    <definedName name="_xlnm.Print_Area" localSheetId="3">'FTP-niveauer og watt pr. kg'!$A$1:$L$56</definedName>
    <definedName name="_xlnm.Print_Area" localSheetId="5">'Scenario med tid på Alpe d''Huez'!$A$1:$N$50</definedName>
    <definedName name="_xlnm.Print_Area" localSheetId="1">Træningsoverblik!$A$14:$M$94</definedName>
    <definedName name="_xlnm.Print_Area" localSheetId="0">Ugeindtastning!$A$1:$Q$54</definedName>
    <definedName name="_xlnm.Print_Titles" localSheetId="0">Ugeindtastning!$1:$14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1" l="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5" i="11"/>
  <c r="B33" i="11"/>
  <c r="B31" i="11"/>
  <c r="B29" i="11"/>
  <c r="B27" i="11"/>
  <c r="B25" i="11"/>
  <c r="B36" i="11"/>
  <c r="B34" i="11"/>
  <c r="B32" i="11"/>
  <c r="B30" i="11"/>
  <c r="B28" i="11"/>
  <c r="B26" i="11"/>
  <c r="B24" i="11"/>
  <c r="B22" i="11"/>
  <c r="B23" i="11"/>
  <c r="B21" i="11"/>
  <c r="B20" i="11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" i="10"/>
  <c r="B11" i="11"/>
  <c r="B5" i="11"/>
  <c r="B32" i="9"/>
  <c r="C32" i="9" s="1"/>
  <c r="B33" i="9"/>
  <c r="C33" i="9" s="1"/>
  <c r="B34" i="9"/>
  <c r="C34" i="9" s="1"/>
  <c r="B35" i="9"/>
  <c r="C35" i="9" s="1"/>
  <c r="B36" i="9"/>
  <c r="C36" i="9" s="1"/>
  <c r="B37" i="9"/>
  <c r="C37" i="9" s="1"/>
  <c r="B38" i="9"/>
  <c r="C38" i="9" s="1"/>
  <c r="B39" i="9"/>
  <c r="C39" i="9" s="1"/>
  <c r="B40" i="9"/>
  <c r="C40" i="9" s="1"/>
  <c r="B41" i="9"/>
  <c r="C41" i="9" s="1"/>
  <c r="B42" i="9"/>
  <c r="C42" i="9" s="1"/>
  <c r="B43" i="9"/>
  <c r="C43" i="9" s="1"/>
  <c r="B44" i="9"/>
  <c r="C44" i="9" s="1"/>
  <c r="B45" i="9"/>
  <c r="C45" i="9" s="1"/>
  <c r="B46" i="9"/>
  <c r="C46" i="9" s="1"/>
  <c r="B47" i="9"/>
  <c r="C47" i="9" s="1"/>
  <c r="B31" i="9"/>
  <c r="C31" i="9" s="1"/>
  <c r="A33" i="13"/>
  <c r="A32" i="13"/>
  <c r="A31" i="13"/>
  <c r="A30" i="13"/>
  <c r="A29" i="13"/>
  <c r="A28" i="13"/>
  <c r="A27" i="13"/>
  <c r="A26" i="13"/>
  <c r="A25" i="13"/>
  <c r="Q23" i="2"/>
  <c r="Q22" i="2"/>
  <c r="Q21" i="2"/>
  <c r="Q20" i="2"/>
  <c r="J24" i="13"/>
  <c r="J29" i="13" s="1"/>
  <c r="I24" i="13"/>
  <c r="I29" i="13" s="1"/>
  <c r="H24" i="13"/>
  <c r="H29" i="13" s="1"/>
  <c r="G24" i="13"/>
  <c r="G29" i="13" s="1"/>
  <c r="F24" i="13"/>
  <c r="F29" i="13" s="1"/>
  <c r="E24" i="13"/>
  <c r="E29" i="13" s="1"/>
  <c r="D24" i="13"/>
  <c r="D29" i="13" s="1"/>
  <c r="C24" i="13"/>
  <c r="C29" i="13" s="1"/>
  <c r="B24" i="13"/>
  <c r="C20" i="13"/>
  <c r="C19" i="11" s="1"/>
  <c r="B20" i="13"/>
  <c r="B19" i="11" s="1"/>
  <c r="C19" i="13"/>
  <c r="C18" i="11" s="1"/>
  <c r="B19" i="13"/>
  <c r="C18" i="13"/>
  <c r="C17" i="11" s="1"/>
  <c r="B18" i="13"/>
  <c r="B17" i="11" s="1"/>
  <c r="C17" i="13"/>
  <c r="C16" i="11" s="1"/>
  <c r="B17" i="13"/>
  <c r="B16" i="11" s="1"/>
  <c r="G5" i="13"/>
  <c r="V33" i="2"/>
  <c r="V34" i="2" s="1"/>
  <c r="V35" i="2" s="1"/>
  <c r="V36" i="2" s="1"/>
  <c r="V37" i="2" s="1"/>
  <c r="V38" i="2" s="1"/>
  <c r="V39" i="2" s="1"/>
  <c r="V40" i="2" s="1"/>
  <c r="V41" i="2" s="1"/>
  <c r="V42" i="2" s="1"/>
  <c r="V43" i="2" s="1"/>
  <c r="V44" i="2" s="1"/>
  <c r="V45" i="2" s="1"/>
  <c r="V46" i="2" s="1"/>
  <c r="V47" i="2" s="1"/>
  <c r="V48" i="2" s="1"/>
  <c r="V49" i="2" s="1"/>
  <c r="V50" i="2" s="1"/>
  <c r="V51" i="2" s="1"/>
  <c r="V52" i="2" s="1"/>
  <c r="V53" i="2" s="1"/>
  <c r="V54" i="2" s="1"/>
  <c r="U33" i="2"/>
  <c r="U34" i="2" s="1"/>
  <c r="U35" i="2" s="1"/>
  <c r="U36" i="2" s="1"/>
  <c r="U37" i="2" s="1"/>
  <c r="U38" i="2" s="1"/>
  <c r="U39" i="2" s="1"/>
  <c r="U40" i="2" s="1"/>
  <c r="U41" i="2" s="1"/>
  <c r="U42" i="2" s="1"/>
  <c r="U43" i="2" s="1"/>
  <c r="U44" i="2" s="1"/>
  <c r="U45" i="2" s="1"/>
  <c r="U46" i="2" s="1"/>
  <c r="U47" i="2" s="1"/>
  <c r="U48" i="2" s="1"/>
  <c r="U49" i="2" s="1"/>
  <c r="U50" i="2" s="1"/>
  <c r="U51" i="2" s="1"/>
  <c r="U52" i="2" s="1"/>
  <c r="U53" i="2" s="1"/>
  <c r="U54" i="2" s="1"/>
  <c r="V32" i="2"/>
  <c r="V31" i="2"/>
  <c r="U32" i="2"/>
  <c r="U31" i="2"/>
  <c r="V19" i="2"/>
  <c r="V20" i="2" s="1"/>
  <c r="V21" i="2" s="1"/>
  <c r="V22" i="2" s="1"/>
  <c r="V23" i="2" s="1"/>
  <c r="V24" i="2" s="1"/>
  <c r="V25" i="2" s="1"/>
  <c r="V26" i="2" s="1"/>
  <c r="V27" i="2" s="1"/>
  <c r="V28" i="2" s="1"/>
  <c r="V29" i="2" s="1"/>
  <c r="V30" i="2" s="1"/>
  <c r="U19" i="2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V17" i="2"/>
  <c r="V18" i="2"/>
  <c r="V16" i="2"/>
  <c r="U18" i="2"/>
  <c r="U17" i="2"/>
  <c r="U16" i="2"/>
  <c r="V15" i="2"/>
  <c r="U15" i="2"/>
  <c r="D10" i="4"/>
  <c r="C10" i="4"/>
  <c r="B10" i="4"/>
  <c r="D19" i="13" l="1"/>
  <c r="B18" i="11"/>
  <c r="K50" i="10"/>
  <c r="K51" i="10"/>
  <c r="K52" i="10"/>
  <c r="K53" i="10"/>
  <c r="K54" i="10"/>
  <c r="K55" i="10"/>
  <c r="K56" i="10"/>
  <c r="K10" i="10"/>
  <c r="K9" i="10"/>
  <c r="K8" i="10"/>
  <c r="K7" i="10"/>
  <c r="K6" i="10"/>
  <c r="K5" i="10"/>
  <c r="G9" i="13"/>
  <c r="K40" i="10"/>
  <c r="K11" i="10"/>
  <c r="K33" i="10"/>
  <c r="K34" i="10"/>
  <c r="K35" i="10"/>
  <c r="K36" i="10"/>
  <c r="K37" i="10"/>
  <c r="K38" i="10"/>
  <c r="K39" i="10"/>
  <c r="K31" i="10"/>
  <c r="K41" i="10"/>
  <c r="K42" i="10"/>
  <c r="K43" i="10"/>
  <c r="K44" i="10"/>
  <c r="K45" i="10"/>
  <c r="K46" i="10"/>
  <c r="K47" i="10"/>
  <c r="K48" i="10"/>
  <c r="K49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32" i="10"/>
  <c r="B29" i="13"/>
  <c r="J33" i="13"/>
  <c r="I33" i="13"/>
  <c r="H33" i="13"/>
  <c r="G33" i="13"/>
  <c r="F33" i="13"/>
  <c r="E33" i="13"/>
  <c r="D33" i="13"/>
  <c r="C33" i="13"/>
  <c r="B33" i="13"/>
  <c r="J32" i="13"/>
  <c r="I32" i="13"/>
  <c r="H32" i="13"/>
  <c r="G32" i="13"/>
  <c r="F32" i="13"/>
  <c r="E32" i="13"/>
  <c r="D32" i="13"/>
  <c r="C32" i="13"/>
  <c r="B32" i="13"/>
  <c r="J31" i="13"/>
  <c r="I31" i="13"/>
  <c r="H31" i="13"/>
  <c r="G31" i="13"/>
  <c r="F31" i="13"/>
  <c r="E31" i="13"/>
  <c r="D31" i="13"/>
  <c r="C31" i="13"/>
  <c r="B31" i="13"/>
  <c r="J30" i="13"/>
  <c r="I30" i="13"/>
  <c r="H30" i="13"/>
  <c r="G30" i="13"/>
  <c r="F30" i="13"/>
  <c r="E30" i="13"/>
  <c r="D30" i="13"/>
  <c r="C30" i="13"/>
  <c r="B30" i="13"/>
  <c r="J28" i="13"/>
  <c r="I28" i="13"/>
  <c r="H28" i="13"/>
  <c r="G28" i="13"/>
  <c r="F28" i="13"/>
  <c r="E28" i="13"/>
  <c r="D28" i="13"/>
  <c r="C28" i="13"/>
  <c r="B28" i="13"/>
  <c r="J27" i="13"/>
  <c r="I27" i="13"/>
  <c r="H27" i="13"/>
  <c r="G27" i="13"/>
  <c r="F27" i="13"/>
  <c r="E27" i="13"/>
  <c r="D27" i="13"/>
  <c r="C27" i="13"/>
  <c r="B27" i="13"/>
  <c r="J26" i="13"/>
  <c r="I26" i="13"/>
  <c r="H26" i="13"/>
  <c r="G26" i="13"/>
  <c r="F26" i="13"/>
  <c r="E26" i="13"/>
  <c r="D26" i="13"/>
  <c r="C26" i="13"/>
  <c r="B26" i="13"/>
  <c r="J25" i="13"/>
  <c r="I25" i="13"/>
  <c r="H25" i="13"/>
  <c r="G25" i="13"/>
  <c r="F25" i="13"/>
  <c r="E25" i="13"/>
  <c r="D25" i="13"/>
  <c r="C25" i="13"/>
  <c r="B25" i="13"/>
  <c r="D20" i="13"/>
  <c r="D10" i="9" s="1"/>
  <c r="D17" i="13"/>
  <c r="D18" i="13"/>
  <c r="D9" i="9" l="1"/>
  <c r="E19" i="13"/>
  <c r="G19" i="13"/>
  <c r="F19" i="13"/>
  <c r="F18" i="13"/>
  <c r="D8" i="9"/>
  <c r="D7" i="9"/>
  <c r="F17" i="13"/>
  <c r="G17" i="13"/>
  <c r="E17" i="13"/>
  <c r="G20" i="13"/>
  <c r="F20" i="13"/>
  <c r="E20" i="13"/>
  <c r="G18" i="13"/>
  <c r="E18" i="13"/>
  <c r="I54" i="11" l="1"/>
  <c r="D54" i="11"/>
  <c r="I53" i="11"/>
  <c r="D53" i="11"/>
  <c r="I52" i="11"/>
  <c r="D52" i="11"/>
  <c r="I51" i="11"/>
  <c r="D51" i="11"/>
  <c r="I50" i="11"/>
  <c r="D50" i="11"/>
  <c r="I49" i="11"/>
  <c r="D49" i="11"/>
  <c r="I48" i="11"/>
  <c r="D48" i="11"/>
  <c r="I47" i="11"/>
  <c r="D47" i="11"/>
  <c r="I46" i="11"/>
  <c r="D46" i="11"/>
  <c r="I45" i="11"/>
  <c r="D45" i="11"/>
  <c r="I44" i="11"/>
  <c r="D44" i="11"/>
  <c r="I43" i="11"/>
  <c r="D43" i="11"/>
  <c r="I42" i="11"/>
  <c r="D42" i="11"/>
  <c r="I41" i="11"/>
  <c r="D41" i="11"/>
  <c r="I40" i="11"/>
  <c r="D40" i="11"/>
  <c r="I39" i="11"/>
  <c r="D39" i="11"/>
  <c r="I38" i="11"/>
  <c r="D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W25" i="11"/>
  <c r="I25" i="11"/>
  <c r="W24" i="11"/>
  <c r="I24" i="11"/>
  <c r="W23" i="11"/>
  <c r="I23" i="11"/>
  <c r="W22" i="11"/>
  <c r="I22" i="11"/>
  <c r="W21" i="11"/>
  <c r="I21" i="11"/>
  <c r="W20" i="11"/>
  <c r="I20" i="11"/>
  <c r="W19" i="11"/>
  <c r="I19" i="11"/>
  <c r="B10" i="9"/>
  <c r="W18" i="11"/>
  <c r="I18" i="11"/>
  <c r="C9" i="9"/>
  <c r="B9" i="9"/>
  <c r="W17" i="11"/>
  <c r="I17" i="11"/>
  <c r="C8" i="9"/>
  <c r="B8" i="9"/>
  <c r="I16" i="11"/>
  <c r="C7" i="9"/>
  <c r="B7" i="9"/>
  <c r="G7" i="13"/>
  <c r="C50" i="11"/>
  <c r="E50" i="11" s="1"/>
  <c r="C44" i="11"/>
  <c r="E44" i="11" s="1"/>
  <c r="C10" i="9"/>
  <c r="A10" i="9"/>
  <c r="A9" i="9"/>
  <c r="A8" i="9"/>
  <c r="A7" i="9"/>
  <c r="Q15" i="2"/>
  <c r="Q16" i="2"/>
  <c r="Q17" i="2"/>
  <c r="Q18" i="2"/>
  <c r="Q19" i="2"/>
  <c r="B3" i="4"/>
  <c r="A5" i="4"/>
  <c r="B5" i="4"/>
  <c r="C5" i="4"/>
  <c r="D5" i="4"/>
  <c r="AK51" i="3"/>
  <c r="S51" i="3"/>
  <c r="T51" i="3" s="1"/>
  <c r="O54" i="2" s="1"/>
  <c r="N51" i="3"/>
  <c r="M51" i="3"/>
  <c r="I51" i="3"/>
  <c r="B51" i="3"/>
  <c r="F51" i="3" s="1"/>
  <c r="A51" i="3"/>
  <c r="AF22" i="3" s="1"/>
  <c r="AK50" i="3"/>
  <c r="S50" i="3"/>
  <c r="T50" i="3" s="1"/>
  <c r="O53" i="2" s="1"/>
  <c r="N50" i="3"/>
  <c r="M50" i="3"/>
  <c r="I50" i="3"/>
  <c r="AJ50" i="3" s="1"/>
  <c r="B50" i="3"/>
  <c r="A50" i="3"/>
  <c r="AF21" i="3" s="1"/>
  <c r="AK49" i="3"/>
  <c r="S49" i="3"/>
  <c r="T49" i="3" s="1"/>
  <c r="O52" i="2" s="1"/>
  <c r="N49" i="3"/>
  <c r="M49" i="3"/>
  <c r="I49" i="3"/>
  <c r="AP49" i="3" s="1"/>
  <c r="B49" i="3"/>
  <c r="C49" i="3" s="1"/>
  <c r="A49" i="3"/>
  <c r="AF20" i="3" s="1"/>
  <c r="AK48" i="3"/>
  <c r="S48" i="3"/>
  <c r="N48" i="3"/>
  <c r="M48" i="3"/>
  <c r="I48" i="3"/>
  <c r="AP48" i="3" s="1"/>
  <c r="B48" i="3"/>
  <c r="E48" i="3" s="1"/>
  <c r="A48" i="3"/>
  <c r="AF19" i="3" s="1"/>
  <c r="AK47" i="3"/>
  <c r="S47" i="3"/>
  <c r="T47" i="3" s="1"/>
  <c r="O50" i="2" s="1"/>
  <c r="N47" i="3"/>
  <c r="M47" i="3"/>
  <c r="I47" i="3"/>
  <c r="AP47" i="3" s="1"/>
  <c r="B47" i="3"/>
  <c r="C47" i="3" s="1"/>
  <c r="A47" i="3"/>
  <c r="AF18" i="3" s="1"/>
  <c r="AK46" i="3"/>
  <c r="S46" i="3"/>
  <c r="T46" i="3" s="1"/>
  <c r="O49" i="2" s="1"/>
  <c r="N46" i="3"/>
  <c r="M46" i="3"/>
  <c r="I46" i="3"/>
  <c r="B46" i="3"/>
  <c r="F46" i="3" s="1"/>
  <c r="A46" i="3"/>
  <c r="AF17" i="3" s="1"/>
  <c r="AK45" i="3"/>
  <c r="S45" i="3"/>
  <c r="T45" i="3" s="1"/>
  <c r="O48" i="2" s="1"/>
  <c r="N45" i="3"/>
  <c r="M45" i="3"/>
  <c r="I45" i="3"/>
  <c r="AP45" i="3" s="1"/>
  <c r="B45" i="3"/>
  <c r="A45" i="3"/>
  <c r="AF16" i="3" s="1"/>
  <c r="AK44" i="3"/>
  <c r="S44" i="3"/>
  <c r="T44" i="3" s="1"/>
  <c r="O47" i="2" s="1"/>
  <c r="N44" i="3"/>
  <c r="M44" i="3"/>
  <c r="I44" i="3"/>
  <c r="AP44" i="3" s="1"/>
  <c r="B44" i="3"/>
  <c r="A44" i="3"/>
  <c r="AF15" i="3" s="1"/>
  <c r="AK43" i="3"/>
  <c r="S43" i="3"/>
  <c r="N43" i="3"/>
  <c r="M43" i="3"/>
  <c r="I43" i="3"/>
  <c r="W43" i="3" s="1"/>
  <c r="B43" i="3"/>
  <c r="E43" i="3" s="1"/>
  <c r="A43" i="3"/>
  <c r="AF14" i="3" s="1"/>
  <c r="AK42" i="3"/>
  <c r="S42" i="3"/>
  <c r="T42" i="3" s="1"/>
  <c r="O45" i="2" s="1"/>
  <c r="N42" i="3"/>
  <c r="M42" i="3"/>
  <c r="I42" i="3"/>
  <c r="AP42" i="3" s="1"/>
  <c r="B42" i="3"/>
  <c r="E42" i="3" s="1"/>
  <c r="A42" i="3"/>
  <c r="AF13" i="3" s="1"/>
  <c r="AK41" i="3"/>
  <c r="S41" i="3"/>
  <c r="T41" i="3" s="1"/>
  <c r="O44" i="2" s="1"/>
  <c r="N41" i="3"/>
  <c r="M41" i="3"/>
  <c r="I41" i="3"/>
  <c r="W41" i="3" s="1"/>
  <c r="B41" i="3"/>
  <c r="F41" i="3" s="1"/>
  <c r="A41" i="3"/>
  <c r="AB25" i="3" s="1"/>
  <c r="AK40" i="3"/>
  <c r="S40" i="3"/>
  <c r="T40" i="3" s="1"/>
  <c r="O43" i="2" s="1"/>
  <c r="N40" i="3"/>
  <c r="M40" i="3"/>
  <c r="I40" i="3"/>
  <c r="V40" i="3" s="1"/>
  <c r="P43" i="2" s="1"/>
  <c r="B40" i="3"/>
  <c r="C40" i="3" s="1"/>
  <c r="A40" i="3"/>
  <c r="AB24" i="3" s="1"/>
  <c r="AK39" i="3"/>
  <c r="S39" i="3"/>
  <c r="T39" i="3" s="1"/>
  <c r="O42" i="2" s="1"/>
  <c r="N39" i="3"/>
  <c r="M39" i="3"/>
  <c r="I39" i="3"/>
  <c r="AP39" i="3" s="1"/>
  <c r="B39" i="3"/>
  <c r="E39" i="3" s="1"/>
  <c r="A39" i="3"/>
  <c r="AB23" i="3" s="1"/>
  <c r="AK38" i="3"/>
  <c r="S38" i="3"/>
  <c r="N38" i="3"/>
  <c r="M38" i="3"/>
  <c r="I38" i="3"/>
  <c r="AP38" i="3" s="1"/>
  <c r="B38" i="3"/>
  <c r="F38" i="3" s="1"/>
  <c r="A38" i="3"/>
  <c r="AB22" i="3" s="1"/>
  <c r="AK37" i="3"/>
  <c r="S37" i="3"/>
  <c r="T37" i="3" s="1"/>
  <c r="O40" i="2" s="1"/>
  <c r="N37" i="3"/>
  <c r="M37" i="3"/>
  <c r="I37" i="3"/>
  <c r="AP37" i="3" s="1"/>
  <c r="B37" i="3"/>
  <c r="C37" i="3" s="1"/>
  <c r="A37" i="3"/>
  <c r="AB21" i="3" s="1"/>
  <c r="AK36" i="3"/>
  <c r="S36" i="3"/>
  <c r="T36" i="3" s="1"/>
  <c r="O39" i="2" s="1"/>
  <c r="N36" i="3"/>
  <c r="M36" i="3"/>
  <c r="I36" i="3"/>
  <c r="V36" i="3" s="1"/>
  <c r="P39" i="2" s="1"/>
  <c r="B36" i="3"/>
  <c r="E36" i="3" s="1"/>
  <c r="A36" i="3"/>
  <c r="AB20" i="3" s="1"/>
  <c r="AK35" i="3"/>
  <c r="S35" i="3"/>
  <c r="T35" i="3" s="1"/>
  <c r="O38" i="2" s="1"/>
  <c r="N35" i="3"/>
  <c r="M35" i="3"/>
  <c r="I35" i="3"/>
  <c r="AP35" i="3" s="1"/>
  <c r="B35" i="3"/>
  <c r="A35" i="3"/>
  <c r="AB19" i="3" s="1"/>
  <c r="AK34" i="3"/>
  <c r="S34" i="3"/>
  <c r="T34" i="3" s="1"/>
  <c r="O37" i="2" s="1"/>
  <c r="N34" i="3"/>
  <c r="M34" i="3"/>
  <c r="I34" i="3"/>
  <c r="AP34" i="3" s="1"/>
  <c r="B34" i="3"/>
  <c r="F34" i="3" s="1"/>
  <c r="A34" i="3"/>
  <c r="AB18" i="3" s="1"/>
  <c r="AK33" i="3"/>
  <c r="S33" i="3"/>
  <c r="N33" i="3"/>
  <c r="M33" i="3"/>
  <c r="I33" i="3"/>
  <c r="AP33" i="3" s="1"/>
  <c r="B33" i="3"/>
  <c r="F33" i="3" s="1"/>
  <c r="A33" i="3"/>
  <c r="AB17" i="3" s="1"/>
  <c r="AK32" i="3"/>
  <c r="S32" i="3"/>
  <c r="T32" i="3" s="1"/>
  <c r="O35" i="2" s="1"/>
  <c r="N32" i="3"/>
  <c r="M32" i="3"/>
  <c r="I32" i="3"/>
  <c r="AP32" i="3" s="1"/>
  <c r="B32" i="3"/>
  <c r="A32" i="3"/>
  <c r="AB16" i="3" s="1"/>
  <c r="AK31" i="3"/>
  <c r="S31" i="3"/>
  <c r="N31" i="3"/>
  <c r="M31" i="3"/>
  <c r="I31" i="3"/>
  <c r="V31" i="3" s="1"/>
  <c r="P34" i="2" s="1"/>
  <c r="B31" i="3"/>
  <c r="F31" i="3" s="1"/>
  <c r="A31" i="3"/>
  <c r="AB15" i="3" s="1"/>
  <c r="AK30" i="3"/>
  <c r="S30" i="3"/>
  <c r="T30" i="3" s="1"/>
  <c r="O33" i="2" s="1"/>
  <c r="N30" i="3"/>
  <c r="M30" i="3"/>
  <c r="I30" i="3"/>
  <c r="AP30" i="3" s="1"/>
  <c r="B30" i="3"/>
  <c r="A30" i="3"/>
  <c r="AB14" i="3" s="1"/>
  <c r="AK29" i="3"/>
  <c r="S29" i="3"/>
  <c r="T29" i="3" s="1"/>
  <c r="O32" i="2" s="1"/>
  <c r="N29" i="3"/>
  <c r="M29" i="3"/>
  <c r="I29" i="3"/>
  <c r="AP29" i="3" s="1"/>
  <c r="B29" i="3"/>
  <c r="A29" i="3"/>
  <c r="AB13" i="3" s="1"/>
  <c r="AK28" i="3"/>
  <c r="S28" i="3"/>
  <c r="T28" i="3" s="1"/>
  <c r="O31" i="2" s="1"/>
  <c r="N28" i="3"/>
  <c r="M28" i="3"/>
  <c r="I28" i="3"/>
  <c r="AJ28" i="3" s="1"/>
  <c r="B28" i="3"/>
  <c r="D28" i="3" s="1"/>
  <c r="A28" i="3"/>
  <c r="AK27" i="3"/>
  <c r="S27" i="3"/>
  <c r="N30" i="2" s="1"/>
  <c r="N27" i="3"/>
  <c r="M27" i="3"/>
  <c r="I27" i="3"/>
  <c r="AJ27" i="3" s="1"/>
  <c r="B27" i="3"/>
  <c r="D27" i="3" s="1"/>
  <c r="A27" i="3"/>
  <c r="X27" i="3" s="1"/>
  <c r="AK26" i="3"/>
  <c r="S26" i="3"/>
  <c r="T26" i="3" s="1"/>
  <c r="O29" i="2" s="1"/>
  <c r="N26" i="3"/>
  <c r="M26" i="3"/>
  <c r="I26" i="3"/>
  <c r="V26" i="3" s="1"/>
  <c r="P29" i="2" s="1"/>
  <c r="B26" i="3"/>
  <c r="E26" i="3" s="1"/>
  <c r="A26" i="3"/>
  <c r="X26" i="3" s="1"/>
  <c r="AK25" i="3"/>
  <c r="S25" i="3"/>
  <c r="N25" i="3"/>
  <c r="M25" i="3"/>
  <c r="I25" i="3"/>
  <c r="B25" i="3"/>
  <c r="F25" i="3" s="1"/>
  <c r="A25" i="3"/>
  <c r="X25" i="3" s="1"/>
  <c r="AK24" i="3"/>
  <c r="S24" i="3"/>
  <c r="T24" i="3" s="1"/>
  <c r="O27" i="2" s="1"/>
  <c r="N24" i="3"/>
  <c r="M24" i="3"/>
  <c r="I24" i="3"/>
  <c r="W24" i="3" s="1"/>
  <c r="B24" i="3"/>
  <c r="A24" i="3"/>
  <c r="X24" i="3" s="1"/>
  <c r="AK23" i="3"/>
  <c r="S23" i="3"/>
  <c r="N26" i="2" s="1"/>
  <c r="N23" i="3"/>
  <c r="M23" i="3"/>
  <c r="I23" i="3"/>
  <c r="V23" i="3" s="1"/>
  <c r="P26" i="2" s="1"/>
  <c r="B23" i="3"/>
  <c r="A23" i="3"/>
  <c r="X23" i="3" s="1"/>
  <c r="AK22" i="3"/>
  <c r="S22" i="3"/>
  <c r="T22" i="3" s="1"/>
  <c r="O25" i="2" s="1"/>
  <c r="N22" i="3"/>
  <c r="M22" i="3"/>
  <c r="I22" i="3"/>
  <c r="AP22" i="3" s="1"/>
  <c r="B22" i="3"/>
  <c r="A22" i="3"/>
  <c r="X22" i="3" s="1"/>
  <c r="AK21" i="3"/>
  <c r="S21" i="3"/>
  <c r="T21" i="3" s="1"/>
  <c r="O24" i="2" s="1"/>
  <c r="N21" i="3"/>
  <c r="M21" i="3"/>
  <c r="I21" i="3"/>
  <c r="AP21" i="3" s="1"/>
  <c r="B21" i="3"/>
  <c r="C21" i="3" s="1"/>
  <c r="A21" i="3"/>
  <c r="X21" i="3" s="1"/>
  <c r="AK20" i="3"/>
  <c r="S20" i="3"/>
  <c r="T20" i="3" s="1"/>
  <c r="O23" i="2" s="1"/>
  <c r="N20" i="3"/>
  <c r="M20" i="3"/>
  <c r="I20" i="3"/>
  <c r="B20" i="3"/>
  <c r="E20" i="3" s="1"/>
  <c r="A20" i="3"/>
  <c r="X20" i="3" s="1"/>
  <c r="AK19" i="3"/>
  <c r="S19" i="3"/>
  <c r="T19" i="3" s="1"/>
  <c r="O22" i="2" s="1"/>
  <c r="N19" i="3"/>
  <c r="M19" i="3"/>
  <c r="I19" i="3"/>
  <c r="B19" i="3"/>
  <c r="A19" i="3"/>
  <c r="X19" i="3" s="1"/>
  <c r="AK18" i="3"/>
  <c r="S18" i="3"/>
  <c r="N21" i="2" s="1"/>
  <c r="N18" i="3"/>
  <c r="M18" i="3"/>
  <c r="I18" i="3"/>
  <c r="B18" i="3"/>
  <c r="D18" i="3" s="1"/>
  <c r="A18" i="3"/>
  <c r="X18" i="3" s="1"/>
  <c r="AK17" i="3"/>
  <c r="S17" i="3"/>
  <c r="T17" i="3" s="1"/>
  <c r="O20" i="2" s="1"/>
  <c r="N17" i="3"/>
  <c r="M17" i="3"/>
  <c r="I17" i="3"/>
  <c r="B17" i="3"/>
  <c r="A17" i="3"/>
  <c r="X17" i="3" s="1"/>
  <c r="AK16" i="3"/>
  <c r="S16" i="3"/>
  <c r="T16" i="3" s="1"/>
  <c r="O19" i="2" s="1"/>
  <c r="N16" i="3"/>
  <c r="M16" i="3"/>
  <c r="I16" i="3"/>
  <c r="AP16" i="3" s="1"/>
  <c r="B16" i="3"/>
  <c r="C16" i="3" s="1"/>
  <c r="A16" i="3"/>
  <c r="X16" i="3" s="1"/>
  <c r="AK15" i="3"/>
  <c r="S15" i="3"/>
  <c r="T15" i="3" s="1"/>
  <c r="O18" i="2" s="1"/>
  <c r="N15" i="3"/>
  <c r="M15" i="3"/>
  <c r="I15" i="3"/>
  <c r="B15" i="3"/>
  <c r="A15" i="3"/>
  <c r="X15" i="3" s="1"/>
  <c r="AK14" i="3"/>
  <c r="S14" i="3"/>
  <c r="T14" i="3" s="1"/>
  <c r="O17" i="2" s="1"/>
  <c r="N14" i="3"/>
  <c r="M14" i="3"/>
  <c r="I14" i="3"/>
  <c r="AP14" i="3" s="1"/>
  <c r="B14" i="3"/>
  <c r="F14" i="3" s="1"/>
  <c r="A14" i="3"/>
  <c r="X14" i="3" s="1"/>
  <c r="AK13" i="3"/>
  <c r="S13" i="3"/>
  <c r="N16" i="2" s="1"/>
  <c r="N13" i="3"/>
  <c r="M13" i="3"/>
  <c r="I13" i="3"/>
  <c r="B13" i="3"/>
  <c r="D13" i="3" s="1"/>
  <c r="A13" i="3"/>
  <c r="X13" i="3" s="1"/>
  <c r="AK12" i="3"/>
  <c r="AF12" i="3"/>
  <c r="S12" i="3"/>
  <c r="T12" i="3" s="1"/>
  <c r="O15" i="2" s="1"/>
  <c r="P12" i="3"/>
  <c r="O12" i="3"/>
  <c r="O13" i="3" s="1"/>
  <c r="N12" i="3"/>
  <c r="M12" i="3"/>
  <c r="I12" i="3"/>
  <c r="AP12" i="3" s="1"/>
  <c r="B12" i="3"/>
  <c r="E12" i="3" s="1"/>
  <c r="A12" i="3"/>
  <c r="X12" i="3" s="1"/>
  <c r="C54" i="2"/>
  <c r="C53" i="2"/>
  <c r="C52" i="2"/>
  <c r="C51" i="2"/>
  <c r="C50" i="2"/>
  <c r="C49" i="2"/>
  <c r="C48" i="2"/>
  <c r="C47" i="2"/>
  <c r="C46" i="2"/>
  <c r="C45" i="2"/>
  <c r="C44" i="2"/>
  <c r="C43" i="2"/>
  <c r="N42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K10" i="1"/>
  <c r="D10" i="1"/>
  <c r="D8" i="4" s="1"/>
  <c r="C10" i="1"/>
  <c r="C8" i="4" s="1"/>
  <c r="B10" i="1"/>
  <c r="B8" i="4" s="1"/>
  <c r="A10" i="1"/>
  <c r="A8" i="4" s="1"/>
  <c r="A13" i="4" s="1"/>
  <c r="K9" i="1"/>
  <c r="D9" i="1"/>
  <c r="D7" i="4" s="1"/>
  <c r="C9" i="1"/>
  <c r="C7" i="4" s="1"/>
  <c r="B9" i="1"/>
  <c r="B7" i="4" s="1"/>
  <c r="A9" i="1"/>
  <c r="A7" i="4" s="1"/>
  <c r="A12" i="4" s="1"/>
  <c r="K8" i="1"/>
  <c r="D8" i="1"/>
  <c r="D6" i="4" s="1"/>
  <c r="C8" i="1"/>
  <c r="C6" i="4" s="1"/>
  <c r="B8" i="1"/>
  <c r="B6" i="4" s="1"/>
  <c r="A8" i="1"/>
  <c r="A6" i="4" s="1"/>
  <c r="A11" i="4" s="1"/>
  <c r="D24" i="11" l="1"/>
  <c r="E24" i="11" s="1"/>
  <c r="D23" i="11"/>
  <c r="E23" i="11" s="1"/>
  <c r="D26" i="11"/>
  <c r="E26" i="11" s="1"/>
  <c r="D29" i="11"/>
  <c r="E29" i="11" s="1"/>
  <c r="D33" i="11"/>
  <c r="E33" i="11" s="1"/>
  <c r="D36" i="11"/>
  <c r="E36" i="11" s="1"/>
  <c r="D19" i="11"/>
  <c r="E19" i="11" s="1"/>
  <c r="D22" i="11"/>
  <c r="E22" i="11" s="1"/>
  <c r="D25" i="11"/>
  <c r="E25" i="11" s="1"/>
  <c r="F25" i="11" s="1"/>
  <c r="D30" i="11"/>
  <c r="E30" i="11" s="1"/>
  <c r="D37" i="11"/>
  <c r="E37" i="11" s="1"/>
  <c r="D16" i="11"/>
  <c r="E16" i="11" s="1"/>
  <c r="D17" i="11"/>
  <c r="E17" i="11" s="1"/>
  <c r="D35" i="11"/>
  <c r="E35" i="11" s="1"/>
  <c r="D31" i="11"/>
  <c r="E31" i="11" s="1"/>
  <c r="D28" i="11"/>
  <c r="E28" i="11" s="1"/>
  <c r="D27" i="11"/>
  <c r="E27" i="11" s="1"/>
  <c r="D20" i="11"/>
  <c r="E20" i="11" s="1"/>
  <c r="G20" i="11" s="1"/>
  <c r="H20" i="11" s="1"/>
  <c r="D21" i="11"/>
  <c r="E21" i="11" s="1"/>
  <c r="D18" i="11"/>
  <c r="E18" i="11" s="1"/>
  <c r="D34" i="11"/>
  <c r="E34" i="11" s="1"/>
  <c r="D32" i="11"/>
  <c r="E32" i="11" s="1"/>
  <c r="C54" i="11"/>
  <c r="E54" i="11" s="1"/>
  <c r="C53" i="11"/>
  <c r="E53" i="11" s="1"/>
  <c r="C52" i="11"/>
  <c r="E52" i="11" s="1"/>
  <c r="J52" i="11" s="1"/>
  <c r="C48" i="11"/>
  <c r="E48" i="11" s="1"/>
  <c r="C47" i="11"/>
  <c r="E47" i="11" s="1"/>
  <c r="C45" i="11"/>
  <c r="E45" i="11" s="1"/>
  <c r="C43" i="11"/>
  <c r="E43" i="11" s="1"/>
  <c r="C42" i="11"/>
  <c r="E42" i="11" s="1"/>
  <c r="C40" i="11"/>
  <c r="E40" i="11" s="1"/>
  <c r="C38" i="11"/>
  <c r="E38" i="11" s="1"/>
  <c r="W20" i="3"/>
  <c r="J50" i="11"/>
  <c r="G50" i="11"/>
  <c r="H50" i="11" s="1"/>
  <c r="K50" i="11" s="1"/>
  <c r="L50" i="11" s="1"/>
  <c r="M50" i="11" s="1"/>
  <c r="N50" i="11" s="1"/>
  <c r="O50" i="11" s="1"/>
  <c r="P50" i="11" s="1"/>
  <c r="Q50" i="11" s="1"/>
  <c r="R50" i="11" s="1"/>
  <c r="S50" i="11" s="1"/>
  <c r="T50" i="11" s="1"/>
  <c r="U50" i="11" s="1"/>
  <c r="E43" i="9" s="1"/>
  <c r="D43" i="9" s="1"/>
  <c r="F50" i="11"/>
  <c r="J44" i="11"/>
  <c r="G44" i="11"/>
  <c r="H44" i="11" s="1"/>
  <c r="K44" i="11" s="1"/>
  <c r="L44" i="11" s="1"/>
  <c r="M44" i="11" s="1"/>
  <c r="N44" i="11" s="1"/>
  <c r="O44" i="11" s="1"/>
  <c r="P44" i="11" s="1"/>
  <c r="Q44" i="11" s="1"/>
  <c r="R44" i="11" s="1"/>
  <c r="S44" i="11" s="1"/>
  <c r="T44" i="11" s="1"/>
  <c r="U44" i="11" s="1"/>
  <c r="E37" i="9" s="1"/>
  <c r="D37" i="9" s="1"/>
  <c r="F44" i="11"/>
  <c r="C39" i="11"/>
  <c r="E39" i="11" s="1"/>
  <c r="C49" i="11"/>
  <c r="E49" i="11" s="1"/>
  <c r="C51" i="11"/>
  <c r="E51" i="11" s="1"/>
  <c r="C41" i="11"/>
  <c r="E41" i="11" s="1"/>
  <c r="C46" i="11"/>
  <c r="E46" i="11" s="1"/>
  <c r="W49" i="3"/>
  <c r="F48" i="3"/>
  <c r="F20" i="3"/>
  <c r="D14" i="3"/>
  <c r="N29" i="2"/>
  <c r="V33" i="3"/>
  <c r="P36" i="2" s="1"/>
  <c r="F13" i="3"/>
  <c r="D34" i="3"/>
  <c r="W47" i="3"/>
  <c r="E16" i="3"/>
  <c r="AJ40" i="3"/>
  <c r="F16" i="3"/>
  <c r="W36" i="3"/>
  <c r="AJ47" i="3"/>
  <c r="V35" i="3"/>
  <c r="P38" i="2" s="1"/>
  <c r="W35" i="3"/>
  <c r="W34" i="3"/>
  <c r="E27" i="3"/>
  <c r="C41" i="3"/>
  <c r="F27" i="3"/>
  <c r="AJ38" i="3"/>
  <c r="W28" i="3"/>
  <c r="W37" i="3"/>
  <c r="W42" i="3"/>
  <c r="AJ37" i="3"/>
  <c r="AJ42" i="3"/>
  <c r="N27" i="2"/>
  <c r="N35" i="2"/>
  <c r="E13" i="3"/>
  <c r="D16" i="3"/>
  <c r="F26" i="3"/>
  <c r="W30" i="3"/>
  <c r="F39" i="3"/>
  <c r="E41" i="3"/>
  <c r="E46" i="3"/>
  <c r="C31" i="3"/>
  <c r="W26" i="3"/>
  <c r="W22" i="3"/>
  <c r="AJ23" i="3"/>
  <c r="C26" i="3"/>
  <c r="AP26" i="3"/>
  <c r="AP27" i="3"/>
  <c r="F36" i="3"/>
  <c r="D37" i="3"/>
  <c r="C39" i="3"/>
  <c r="F43" i="3"/>
  <c r="V45" i="3"/>
  <c r="P48" i="2" s="1"/>
  <c r="V21" i="3"/>
  <c r="P24" i="2" s="1"/>
  <c r="AP18" i="3"/>
  <c r="AJ21" i="3"/>
  <c r="D26" i="3"/>
  <c r="E37" i="3"/>
  <c r="C38" i="3"/>
  <c r="D39" i="3"/>
  <c r="W45" i="3"/>
  <c r="N32" i="2"/>
  <c r="W39" i="3"/>
  <c r="N18" i="2"/>
  <c r="AJ16" i="3"/>
  <c r="AP17" i="3"/>
  <c r="V30" i="3"/>
  <c r="P33" i="2" s="1"/>
  <c r="E34" i="3"/>
  <c r="D41" i="3"/>
  <c r="W44" i="3"/>
  <c r="C48" i="3"/>
  <c r="N20" i="2"/>
  <c r="N33" i="2"/>
  <c r="W16" i="3"/>
  <c r="C18" i="3"/>
  <c r="AJ18" i="3" s="1"/>
  <c r="W21" i="3"/>
  <c r="AJ26" i="3"/>
  <c r="C28" i="3"/>
  <c r="D31" i="3"/>
  <c r="C33" i="3"/>
  <c r="AJ35" i="3"/>
  <c r="E38" i="3"/>
  <c r="C51" i="3"/>
  <c r="E28" i="3"/>
  <c r="E31" i="3"/>
  <c r="E33" i="3"/>
  <c r="D51" i="3"/>
  <c r="AP20" i="3"/>
  <c r="N40" i="2"/>
  <c r="V22" i="3"/>
  <c r="P25" i="2" s="1"/>
  <c r="F28" i="3"/>
  <c r="C34" i="3"/>
  <c r="AJ43" i="3"/>
  <c r="E51" i="3"/>
  <c r="V27" i="3"/>
  <c r="P30" i="2" s="1"/>
  <c r="C46" i="3"/>
  <c r="E21" i="3"/>
  <c r="W27" i="3"/>
  <c r="C36" i="3"/>
  <c r="D42" i="3"/>
  <c r="D46" i="3"/>
  <c r="W17" i="3"/>
  <c r="N24" i="2"/>
  <c r="F12" i="3"/>
  <c r="C27" i="3"/>
  <c r="W32" i="3"/>
  <c r="D36" i="3"/>
  <c r="G36" i="3" s="1"/>
  <c r="C43" i="3"/>
  <c r="AJ22" i="3"/>
  <c r="V24" i="3"/>
  <c r="P27" i="2" s="1"/>
  <c r="W29" i="3"/>
  <c r="AJ32" i="3"/>
  <c r="W38" i="3"/>
  <c r="W33" i="3"/>
  <c r="Q12" i="3"/>
  <c r="L15" i="2" s="1"/>
  <c r="R12" i="3"/>
  <c r="M15" i="2" s="1"/>
  <c r="P13" i="3"/>
  <c r="T18" i="3"/>
  <c r="O21" i="2" s="1"/>
  <c r="N19" i="2"/>
  <c r="N37" i="2"/>
  <c r="N17" i="2"/>
  <c r="N53" i="2"/>
  <c r="N25" i="2"/>
  <c r="N15" i="2"/>
  <c r="N45" i="2"/>
  <c r="N38" i="2"/>
  <c r="T27" i="3"/>
  <c r="O30" i="2" s="1"/>
  <c r="N54" i="2"/>
  <c r="N22" i="2"/>
  <c r="N39" i="2"/>
  <c r="N43" i="2"/>
  <c r="N47" i="2"/>
  <c r="N50" i="2"/>
  <c r="N44" i="2"/>
  <c r="N48" i="2"/>
  <c r="N52" i="2"/>
  <c r="W19" i="3"/>
  <c r="AP19" i="3"/>
  <c r="AJ19" i="3"/>
  <c r="T25" i="3"/>
  <c r="O28" i="2" s="1"/>
  <c r="N28" i="2"/>
  <c r="G13" i="3"/>
  <c r="T13" i="3"/>
  <c r="O16" i="2" s="1"/>
  <c r="E18" i="3"/>
  <c r="F18" i="3"/>
  <c r="E23" i="3"/>
  <c r="C23" i="3"/>
  <c r="F23" i="3"/>
  <c r="C15" i="3"/>
  <c r="AJ15" i="3" s="1"/>
  <c r="F15" i="3"/>
  <c r="E15" i="3"/>
  <c r="D15" i="3"/>
  <c r="F22" i="3"/>
  <c r="E22" i="3"/>
  <c r="D22" i="3"/>
  <c r="C22" i="3"/>
  <c r="D23" i="3"/>
  <c r="T38" i="3"/>
  <c r="O41" i="2" s="1"/>
  <c r="N41" i="2"/>
  <c r="F49" i="3"/>
  <c r="E49" i="3"/>
  <c r="D49" i="3"/>
  <c r="AP41" i="3"/>
  <c r="AJ41" i="3"/>
  <c r="V41" i="3"/>
  <c r="P44" i="2" s="1"/>
  <c r="W14" i="3"/>
  <c r="AP25" i="3"/>
  <c r="AJ25" i="3"/>
  <c r="W25" i="3"/>
  <c r="V25" i="3"/>
  <c r="P28" i="2" s="1"/>
  <c r="T33" i="3"/>
  <c r="O36" i="2" s="1"/>
  <c r="N36" i="2"/>
  <c r="F35" i="3"/>
  <c r="E35" i="3"/>
  <c r="D35" i="3"/>
  <c r="C35" i="3"/>
  <c r="O14" i="3"/>
  <c r="T23" i="3"/>
  <c r="O26" i="2" s="1"/>
  <c r="C24" i="3"/>
  <c r="E24" i="3"/>
  <c r="F24" i="3"/>
  <c r="D24" i="3"/>
  <c r="X28" i="3"/>
  <c r="AB12" i="3"/>
  <c r="W12" i="3"/>
  <c r="C12" i="3"/>
  <c r="AJ12" i="3" s="1"/>
  <c r="C20" i="3"/>
  <c r="AJ20" i="3" s="1"/>
  <c r="F29" i="3"/>
  <c r="D29" i="3"/>
  <c r="E29" i="3"/>
  <c r="T48" i="3"/>
  <c r="O51" i="2" s="1"/>
  <c r="N51" i="2"/>
  <c r="D12" i="3"/>
  <c r="C13" i="3"/>
  <c r="AJ13" i="3" s="1"/>
  <c r="D20" i="3"/>
  <c r="C29" i="3"/>
  <c r="T31" i="3"/>
  <c r="O34" i="2" s="1"/>
  <c r="N34" i="2"/>
  <c r="V38" i="3"/>
  <c r="P41" i="2" s="1"/>
  <c r="AP36" i="3"/>
  <c r="AJ36" i="3"/>
  <c r="W13" i="3"/>
  <c r="AP13" i="3"/>
  <c r="F32" i="3"/>
  <c r="E32" i="3"/>
  <c r="F17" i="3"/>
  <c r="E17" i="3"/>
  <c r="D17" i="3"/>
  <c r="W23" i="3"/>
  <c r="AP23" i="3"/>
  <c r="C32" i="3"/>
  <c r="G26" i="3"/>
  <c r="F30" i="3"/>
  <c r="E30" i="3"/>
  <c r="D30" i="3"/>
  <c r="AP40" i="3"/>
  <c r="W40" i="3"/>
  <c r="AP43" i="3"/>
  <c r="V43" i="3"/>
  <c r="P46" i="2" s="1"/>
  <c r="E44" i="3"/>
  <c r="C44" i="3"/>
  <c r="D44" i="3"/>
  <c r="F44" i="3"/>
  <c r="C30" i="3"/>
  <c r="F47" i="3"/>
  <c r="D47" i="3"/>
  <c r="E47" i="3"/>
  <c r="W15" i="3"/>
  <c r="AP15" i="3"/>
  <c r="C17" i="3"/>
  <c r="AJ17" i="3" s="1"/>
  <c r="AP24" i="3"/>
  <c r="AJ24" i="3"/>
  <c r="D32" i="3"/>
  <c r="F45" i="3"/>
  <c r="E45" i="3"/>
  <c r="D45" i="3"/>
  <c r="C45" i="3"/>
  <c r="AP50" i="3"/>
  <c r="W50" i="3"/>
  <c r="V50" i="3"/>
  <c r="P53" i="2" s="1"/>
  <c r="AP46" i="3"/>
  <c r="AJ46" i="3"/>
  <c r="W46" i="3"/>
  <c r="AJ48" i="3"/>
  <c r="F21" i="3"/>
  <c r="F37" i="3"/>
  <c r="F50" i="3"/>
  <c r="E50" i="3"/>
  <c r="D50" i="3"/>
  <c r="C50" i="3"/>
  <c r="AP51" i="3"/>
  <c r="V51" i="3"/>
  <c r="P54" i="2" s="1"/>
  <c r="AJ51" i="3"/>
  <c r="N23" i="2"/>
  <c r="D19" i="3"/>
  <c r="AJ30" i="3"/>
  <c r="F42" i="3"/>
  <c r="V48" i="3"/>
  <c r="P51" i="2" s="1"/>
  <c r="W51" i="3"/>
  <c r="E19" i="3"/>
  <c r="C19" i="3"/>
  <c r="N49" i="2"/>
  <c r="E14" i="3"/>
  <c r="C14" i="3"/>
  <c r="AJ14" i="3" s="1"/>
  <c r="W18" i="3"/>
  <c r="F19" i="3"/>
  <c r="D21" i="3"/>
  <c r="E25" i="3"/>
  <c r="D25" i="3"/>
  <c r="C25" i="3"/>
  <c r="AP31" i="3"/>
  <c r="AJ31" i="3"/>
  <c r="W31" i="3"/>
  <c r="AJ33" i="3"/>
  <c r="F40" i="3"/>
  <c r="E40" i="3"/>
  <c r="D40" i="3"/>
  <c r="C42" i="3"/>
  <c r="T43" i="3"/>
  <c r="O46" i="2" s="1"/>
  <c r="N46" i="2"/>
  <c r="AJ45" i="3"/>
  <c r="V46" i="3"/>
  <c r="P49" i="2" s="1"/>
  <c r="W48" i="3"/>
  <c r="V29" i="3"/>
  <c r="P32" i="2" s="1"/>
  <c r="V34" i="3"/>
  <c r="P37" i="2" s="1"/>
  <c r="V39" i="3"/>
  <c r="P42" i="2" s="1"/>
  <c r="V44" i="3"/>
  <c r="P47" i="2" s="1"/>
  <c r="V49" i="3"/>
  <c r="P52" i="2" s="1"/>
  <c r="N31" i="2"/>
  <c r="AP28" i="3"/>
  <c r="V28" i="3"/>
  <c r="P31" i="2" s="1"/>
  <c r="AJ29" i="3"/>
  <c r="V32" i="3"/>
  <c r="P35" i="2" s="1"/>
  <c r="D33" i="3"/>
  <c r="AJ34" i="3"/>
  <c r="V37" i="3"/>
  <c r="P40" i="2" s="1"/>
  <c r="D38" i="3"/>
  <c r="AJ39" i="3"/>
  <c r="V42" i="3"/>
  <c r="P45" i="2" s="1"/>
  <c r="D43" i="3"/>
  <c r="AJ44" i="3"/>
  <c r="V47" i="3"/>
  <c r="P50" i="2" s="1"/>
  <c r="D48" i="3"/>
  <c r="AJ49" i="3"/>
  <c r="G24" i="11" l="1"/>
  <c r="H24" i="11" s="1"/>
  <c r="F24" i="11"/>
  <c r="J24" i="11"/>
  <c r="J26" i="11"/>
  <c r="G26" i="11"/>
  <c r="H26" i="11" s="1"/>
  <c r="F26" i="11"/>
  <c r="J45" i="11"/>
  <c r="G45" i="11"/>
  <c r="H45" i="11" s="1"/>
  <c r="K45" i="11" s="1"/>
  <c r="L45" i="11" s="1"/>
  <c r="M45" i="11" s="1"/>
  <c r="N45" i="11" s="1"/>
  <c r="O45" i="11" s="1"/>
  <c r="P45" i="11" s="1"/>
  <c r="Q45" i="11" s="1"/>
  <c r="R45" i="11" s="1"/>
  <c r="S45" i="11" s="1"/>
  <c r="T45" i="11" s="1"/>
  <c r="U45" i="11" s="1"/>
  <c r="E38" i="9" s="1"/>
  <c r="D38" i="9" s="1"/>
  <c r="F45" i="11"/>
  <c r="J28" i="11"/>
  <c r="G28" i="11"/>
  <c r="H28" i="11" s="1"/>
  <c r="F28" i="11"/>
  <c r="F20" i="11"/>
  <c r="J20" i="11"/>
  <c r="K20" i="11" s="1"/>
  <c r="L20" i="11" s="1"/>
  <c r="M20" i="11" s="1"/>
  <c r="N20" i="11" s="1"/>
  <c r="O20" i="11" s="1"/>
  <c r="P20" i="11" s="1"/>
  <c r="Q20" i="11" s="1"/>
  <c r="R20" i="11" s="1"/>
  <c r="S20" i="11" s="1"/>
  <c r="T20" i="11" s="1"/>
  <c r="J38" i="11"/>
  <c r="G38" i="11"/>
  <c r="H38" i="11" s="1"/>
  <c r="F38" i="11"/>
  <c r="G19" i="11"/>
  <c r="H19" i="11" s="1"/>
  <c r="J19" i="11"/>
  <c r="J30" i="11"/>
  <c r="G30" i="11"/>
  <c r="H30" i="11" s="1"/>
  <c r="K30" i="11" s="1"/>
  <c r="L30" i="11" s="1"/>
  <c r="M30" i="11" s="1"/>
  <c r="N30" i="11" s="1"/>
  <c r="O30" i="11" s="1"/>
  <c r="P30" i="11" s="1"/>
  <c r="Q30" i="11" s="1"/>
  <c r="R30" i="11" s="1"/>
  <c r="S30" i="11" s="1"/>
  <c r="T30" i="11" s="1"/>
  <c r="F30" i="11"/>
  <c r="F16" i="11"/>
  <c r="F7" i="9" s="1"/>
  <c r="E7" i="9"/>
  <c r="J16" i="11"/>
  <c r="G16" i="11"/>
  <c r="H16" i="11" s="1"/>
  <c r="F17" i="11"/>
  <c r="F8" i="9" s="1"/>
  <c r="G17" i="11"/>
  <c r="H17" i="11" s="1"/>
  <c r="E8" i="9"/>
  <c r="J17" i="11"/>
  <c r="F35" i="11"/>
  <c r="J35" i="11"/>
  <c r="G35" i="11"/>
  <c r="H35" i="11" s="1"/>
  <c r="K35" i="11" s="1"/>
  <c r="L35" i="11" s="1"/>
  <c r="M35" i="11" s="1"/>
  <c r="N35" i="11" s="1"/>
  <c r="O35" i="11" s="1"/>
  <c r="P35" i="11" s="1"/>
  <c r="Q35" i="11" s="1"/>
  <c r="R35" i="11" s="1"/>
  <c r="S35" i="11" s="1"/>
  <c r="T35" i="11" s="1"/>
  <c r="J21" i="11"/>
  <c r="G21" i="11"/>
  <c r="H21" i="11" s="1"/>
  <c r="F21" i="11"/>
  <c r="F32" i="11"/>
  <c r="G32" i="11"/>
  <c r="H32" i="11" s="1"/>
  <c r="J32" i="11"/>
  <c r="G54" i="11"/>
  <c r="H54" i="11" s="1"/>
  <c r="F54" i="11"/>
  <c r="J54" i="11"/>
  <c r="F53" i="11"/>
  <c r="G53" i="11"/>
  <c r="H53" i="11" s="1"/>
  <c r="J53" i="11"/>
  <c r="G52" i="11"/>
  <c r="H52" i="11" s="1"/>
  <c r="K52" i="11" s="1"/>
  <c r="L52" i="11" s="1"/>
  <c r="M52" i="11" s="1"/>
  <c r="N52" i="11" s="1"/>
  <c r="O52" i="11" s="1"/>
  <c r="P52" i="11" s="1"/>
  <c r="Q52" i="11" s="1"/>
  <c r="R52" i="11" s="1"/>
  <c r="S52" i="11" s="1"/>
  <c r="T52" i="11" s="1"/>
  <c r="U52" i="11" s="1"/>
  <c r="E45" i="9" s="1"/>
  <c r="D45" i="9" s="1"/>
  <c r="F52" i="11"/>
  <c r="F48" i="11"/>
  <c r="G48" i="11"/>
  <c r="H48" i="11" s="1"/>
  <c r="J48" i="11"/>
  <c r="F47" i="11"/>
  <c r="G47" i="11"/>
  <c r="H47" i="11" s="1"/>
  <c r="J47" i="11"/>
  <c r="F43" i="11"/>
  <c r="G43" i="11"/>
  <c r="H43" i="11" s="1"/>
  <c r="J43" i="11"/>
  <c r="F42" i="11"/>
  <c r="G42" i="11"/>
  <c r="H42" i="11" s="1"/>
  <c r="J42" i="11"/>
  <c r="K42" i="11" s="1"/>
  <c r="L42" i="11" s="1"/>
  <c r="M42" i="11" s="1"/>
  <c r="N42" i="11" s="1"/>
  <c r="O42" i="11" s="1"/>
  <c r="P42" i="11" s="1"/>
  <c r="Q42" i="11" s="1"/>
  <c r="R42" i="11" s="1"/>
  <c r="S42" i="11" s="1"/>
  <c r="T42" i="11" s="1"/>
  <c r="U42" i="11" s="1"/>
  <c r="E35" i="9" s="1"/>
  <c r="D35" i="9" s="1"/>
  <c r="F40" i="11"/>
  <c r="G40" i="11"/>
  <c r="H40" i="11" s="1"/>
  <c r="J40" i="11"/>
  <c r="E10" i="9"/>
  <c r="F19" i="11"/>
  <c r="F10" i="9" s="1"/>
  <c r="F29" i="11"/>
  <c r="G29" i="11"/>
  <c r="H29" i="11" s="1"/>
  <c r="J29" i="11"/>
  <c r="F33" i="11"/>
  <c r="G33" i="11"/>
  <c r="H33" i="11" s="1"/>
  <c r="J33" i="11"/>
  <c r="J25" i="11"/>
  <c r="G25" i="11"/>
  <c r="H25" i="11" s="1"/>
  <c r="J31" i="11"/>
  <c r="G31" i="11"/>
  <c r="H31" i="11" s="1"/>
  <c r="F31" i="11"/>
  <c r="J27" i="11"/>
  <c r="G27" i="11"/>
  <c r="H27" i="11" s="1"/>
  <c r="F27" i="11"/>
  <c r="E9" i="9"/>
  <c r="F18" i="11"/>
  <c r="F9" i="9" s="1"/>
  <c r="G18" i="11"/>
  <c r="H18" i="11" s="1"/>
  <c r="J18" i="11"/>
  <c r="G46" i="3"/>
  <c r="G41" i="3"/>
  <c r="G31" i="3"/>
  <c r="H27" i="3"/>
  <c r="R13" i="3"/>
  <c r="M16" i="2" s="1"/>
  <c r="P14" i="3"/>
  <c r="Q14" i="3" s="1"/>
  <c r="L17" i="2" s="1"/>
  <c r="H34" i="3"/>
  <c r="G14" i="3"/>
  <c r="J34" i="11"/>
  <c r="G34" i="11"/>
  <c r="H34" i="11" s="1"/>
  <c r="F34" i="11"/>
  <c r="J37" i="11"/>
  <c r="G37" i="11"/>
  <c r="H37" i="11" s="1"/>
  <c r="F37" i="11"/>
  <c r="J23" i="11"/>
  <c r="G23" i="11"/>
  <c r="H23" i="11" s="1"/>
  <c r="F23" i="11"/>
  <c r="J46" i="11"/>
  <c r="G46" i="11"/>
  <c r="H46" i="11" s="1"/>
  <c r="F46" i="11"/>
  <c r="J51" i="11"/>
  <c r="G51" i="11"/>
  <c r="H51" i="11" s="1"/>
  <c r="K51" i="11" s="1"/>
  <c r="L51" i="11" s="1"/>
  <c r="M51" i="11" s="1"/>
  <c r="N51" i="11" s="1"/>
  <c r="O51" i="11" s="1"/>
  <c r="P51" i="11" s="1"/>
  <c r="Q51" i="11" s="1"/>
  <c r="R51" i="11" s="1"/>
  <c r="S51" i="11" s="1"/>
  <c r="T51" i="11" s="1"/>
  <c r="U51" i="11" s="1"/>
  <c r="E44" i="9" s="1"/>
  <c r="D44" i="9" s="1"/>
  <c r="F51" i="11"/>
  <c r="J41" i="11"/>
  <c r="G41" i="11"/>
  <c r="H41" i="11" s="1"/>
  <c r="F41" i="11"/>
  <c r="J49" i="11"/>
  <c r="G49" i="11"/>
  <c r="H49" i="11" s="1"/>
  <c r="F49" i="11"/>
  <c r="J22" i="11"/>
  <c r="F22" i="11"/>
  <c r="G22" i="11"/>
  <c r="H22" i="11" s="1"/>
  <c r="J36" i="11"/>
  <c r="G36" i="11"/>
  <c r="H36" i="11" s="1"/>
  <c r="F36" i="11"/>
  <c r="J39" i="11"/>
  <c r="G39" i="11"/>
  <c r="H39" i="11" s="1"/>
  <c r="K39" i="11" s="1"/>
  <c r="L39" i="11" s="1"/>
  <c r="M39" i="11" s="1"/>
  <c r="N39" i="11" s="1"/>
  <c r="O39" i="11" s="1"/>
  <c r="P39" i="11" s="1"/>
  <c r="Q39" i="11" s="1"/>
  <c r="R39" i="11" s="1"/>
  <c r="S39" i="11" s="1"/>
  <c r="T39" i="11" s="1"/>
  <c r="U39" i="11" s="1"/>
  <c r="E32" i="9" s="1"/>
  <c r="D32" i="9" s="1"/>
  <c r="F39" i="11"/>
  <c r="H16" i="3"/>
  <c r="H26" i="3"/>
  <c r="G37" i="3"/>
  <c r="H13" i="3"/>
  <c r="V13" i="3" s="1"/>
  <c r="P16" i="2" s="1"/>
  <c r="H51" i="3"/>
  <c r="G27" i="3"/>
  <c r="H31" i="3"/>
  <c r="G39" i="3"/>
  <c r="H46" i="3"/>
  <c r="Q13" i="3"/>
  <c r="L16" i="2" s="1"/>
  <c r="G34" i="3"/>
  <c r="G28" i="3"/>
  <c r="H39" i="3"/>
  <c r="G16" i="3"/>
  <c r="H36" i="3"/>
  <c r="H42" i="3"/>
  <c r="H41" i="3"/>
  <c r="G51" i="3"/>
  <c r="H37" i="3"/>
  <c r="H28" i="3"/>
  <c r="AC22" i="3"/>
  <c r="AD21" i="3"/>
  <c r="AC13" i="3"/>
  <c r="AG17" i="3"/>
  <c r="AC25" i="3"/>
  <c r="G18" i="3"/>
  <c r="V18" i="3" s="1"/>
  <c r="P21" i="2" s="1"/>
  <c r="AD18" i="3"/>
  <c r="AC17" i="3"/>
  <c r="AC19" i="3"/>
  <c r="AG20" i="3"/>
  <c r="AG18" i="3"/>
  <c r="H47" i="3"/>
  <c r="G47" i="3"/>
  <c r="H44" i="3"/>
  <c r="G44" i="3"/>
  <c r="O15" i="3"/>
  <c r="AC24" i="3"/>
  <c r="AD24" i="3"/>
  <c r="H35" i="3"/>
  <c r="G35" i="3"/>
  <c r="H18" i="3"/>
  <c r="AH15" i="3"/>
  <c r="AH20" i="3"/>
  <c r="G17" i="3"/>
  <c r="H17" i="3"/>
  <c r="AG22" i="3"/>
  <c r="G22" i="3"/>
  <c r="H22" i="3"/>
  <c r="AH17" i="3"/>
  <c r="H43" i="3"/>
  <c r="G43" i="3"/>
  <c r="G42" i="3"/>
  <c r="AC15" i="3"/>
  <c r="AH19" i="3"/>
  <c r="AH13" i="3"/>
  <c r="G25" i="3"/>
  <c r="H25" i="3"/>
  <c r="AD22" i="3"/>
  <c r="AG14" i="3"/>
  <c r="H33" i="3"/>
  <c r="G33" i="3"/>
  <c r="H40" i="3"/>
  <c r="G40" i="3"/>
  <c r="H38" i="3"/>
  <c r="G38" i="3"/>
  <c r="H21" i="3"/>
  <c r="G21" i="3"/>
  <c r="H30" i="3"/>
  <c r="G30" i="3"/>
  <c r="AD14" i="3"/>
  <c r="AD12" i="3"/>
  <c r="AC12" i="3"/>
  <c r="AG16" i="3"/>
  <c r="AH16" i="3"/>
  <c r="H50" i="3"/>
  <c r="G50" i="3"/>
  <c r="AH12" i="3"/>
  <c r="AG15" i="3"/>
  <c r="H20" i="3"/>
  <c r="G20" i="3"/>
  <c r="V20" i="3" s="1"/>
  <c r="P23" i="2" s="1"/>
  <c r="AC18" i="3"/>
  <c r="AD15" i="3"/>
  <c r="AD13" i="3"/>
  <c r="AD16" i="3"/>
  <c r="AH21" i="3"/>
  <c r="H45" i="3"/>
  <c r="G45" i="3"/>
  <c r="AD19" i="3"/>
  <c r="AC20" i="3"/>
  <c r="AD17" i="3"/>
  <c r="AD20" i="3"/>
  <c r="H49" i="3"/>
  <c r="G49" i="3"/>
  <c r="H48" i="3"/>
  <c r="G48" i="3"/>
  <c r="H19" i="3"/>
  <c r="G19" i="3"/>
  <c r="V19" i="3" s="1"/>
  <c r="P22" i="2" s="1"/>
  <c r="Y19" i="3"/>
  <c r="Y14" i="3"/>
  <c r="Y25" i="3"/>
  <c r="Y23" i="3"/>
  <c r="Y18" i="3"/>
  <c r="Y28" i="3"/>
  <c r="Z24" i="3"/>
  <c r="Z23" i="3"/>
  <c r="Z21" i="3"/>
  <c r="Z27" i="3"/>
  <c r="Y24" i="3"/>
  <c r="Y21" i="3"/>
  <c r="Z14" i="3"/>
  <c r="Y27" i="3"/>
  <c r="Z17" i="3"/>
  <c r="Y20" i="3"/>
  <c r="Z18" i="3"/>
  <c r="Z16" i="3"/>
  <c r="Y13" i="3"/>
  <c r="Z26" i="3"/>
  <c r="Z25" i="3"/>
  <c r="Z15" i="3"/>
  <c r="Y12" i="3"/>
  <c r="Y26" i="3"/>
  <c r="Y15" i="3"/>
  <c r="Z28" i="3"/>
  <c r="Y16" i="3"/>
  <c r="Z20" i="3"/>
  <c r="Y22" i="3"/>
  <c r="Z19" i="3"/>
  <c r="Z22" i="3"/>
  <c r="Y17" i="3"/>
  <c r="Z13" i="3"/>
  <c r="H12" i="3"/>
  <c r="Z12" i="3"/>
  <c r="G12" i="3"/>
  <c r="H29" i="3"/>
  <c r="G29" i="3"/>
  <c r="H24" i="3"/>
  <c r="G24" i="3"/>
  <c r="AH14" i="3"/>
  <c r="AC14" i="3"/>
  <c r="AC16" i="3"/>
  <c r="AH22" i="3"/>
  <c r="H15" i="3"/>
  <c r="G15" i="3"/>
  <c r="AG13" i="3"/>
  <c r="AD25" i="3"/>
  <c r="AG12" i="3"/>
  <c r="AG21" i="3"/>
  <c r="AG19" i="3"/>
  <c r="H32" i="3"/>
  <c r="G32" i="3"/>
  <c r="B2" i="3"/>
  <c r="H14" i="3"/>
  <c r="V14" i="3" s="1"/>
  <c r="P17" i="2" s="1"/>
  <c r="AD23" i="3"/>
  <c r="AC23" i="3"/>
  <c r="AC21" i="3"/>
  <c r="G23" i="3"/>
  <c r="H23" i="3"/>
  <c r="AH18" i="3"/>
  <c r="K24" i="11" l="1"/>
  <c r="L24" i="11" s="1"/>
  <c r="M24" i="11" s="1"/>
  <c r="N24" i="11" s="1"/>
  <c r="O24" i="11" s="1"/>
  <c r="P24" i="11" s="1"/>
  <c r="Q24" i="11" s="1"/>
  <c r="R24" i="11" s="1"/>
  <c r="S24" i="11" s="1"/>
  <c r="T24" i="11" s="1"/>
  <c r="K23" i="11"/>
  <c r="L23" i="11" s="1"/>
  <c r="M23" i="11" s="1"/>
  <c r="N23" i="11" s="1"/>
  <c r="O23" i="11" s="1"/>
  <c r="P23" i="11" s="1"/>
  <c r="Q23" i="11" s="1"/>
  <c r="R23" i="11" s="1"/>
  <c r="S23" i="11" s="1"/>
  <c r="T23" i="11" s="1"/>
  <c r="K22" i="11"/>
  <c r="L22" i="11" s="1"/>
  <c r="M22" i="11" s="1"/>
  <c r="N22" i="11" s="1"/>
  <c r="O22" i="11" s="1"/>
  <c r="P22" i="11" s="1"/>
  <c r="Q22" i="11" s="1"/>
  <c r="R22" i="11" s="1"/>
  <c r="S22" i="11" s="1"/>
  <c r="T22" i="11" s="1"/>
  <c r="K19" i="11"/>
  <c r="L19" i="11" s="1"/>
  <c r="M19" i="11" s="1"/>
  <c r="N19" i="11" s="1"/>
  <c r="O19" i="11" s="1"/>
  <c r="P19" i="11" s="1"/>
  <c r="Q19" i="11" s="1"/>
  <c r="R19" i="11" s="1"/>
  <c r="S19" i="11" s="1"/>
  <c r="T19" i="11" s="1"/>
  <c r="K26" i="11"/>
  <c r="L26" i="11" s="1"/>
  <c r="M26" i="11" s="1"/>
  <c r="N26" i="11" s="1"/>
  <c r="O26" i="11" s="1"/>
  <c r="P26" i="11" s="1"/>
  <c r="Q26" i="11" s="1"/>
  <c r="R26" i="11" s="1"/>
  <c r="S26" i="11" s="1"/>
  <c r="T26" i="11" s="1"/>
  <c r="K28" i="11"/>
  <c r="L28" i="11" s="1"/>
  <c r="M28" i="11" s="1"/>
  <c r="N28" i="11" s="1"/>
  <c r="O28" i="11" s="1"/>
  <c r="P28" i="11" s="1"/>
  <c r="Q28" i="11" s="1"/>
  <c r="R28" i="11" s="1"/>
  <c r="S28" i="11" s="1"/>
  <c r="T28" i="11" s="1"/>
  <c r="K40" i="11"/>
  <c r="L40" i="11" s="1"/>
  <c r="M40" i="11" s="1"/>
  <c r="N40" i="11" s="1"/>
  <c r="O40" i="11" s="1"/>
  <c r="P40" i="11" s="1"/>
  <c r="Q40" i="11" s="1"/>
  <c r="R40" i="11" s="1"/>
  <c r="S40" i="11" s="1"/>
  <c r="T40" i="11" s="1"/>
  <c r="U40" i="11" s="1"/>
  <c r="E33" i="9" s="1"/>
  <c r="D33" i="9" s="1"/>
  <c r="K43" i="11"/>
  <c r="L43" i="11" s="1"/>
  <c r="M43" i="11" s="1"/>
  <c r="N43" i="11" s="1"/>
  <c r="O43" i="11" s="1"/>
  <c r="P43" i="11" s="1"/>
  <c r="Q43" i="11" s="1"/>
  <c r="R43" i="11" s="1"/>
  <c r="S43" i="11" s="1"/>
  <c r="T43" i="11" s="1"/>
  <c r="U43" i="11" s="1"/>
  <c r="E36" i="9" s="1"/>
  <c r="D36" i="9" s="1"/>
  <c r="K38" i="11"/>
  <c r="L38" i="11" s="1"/>
  <c r="M38" i="11" s="1"/>
  <c r="N38" i="11" s="1"/>
  <c r="O38" i="11" s="1"/>
  <c r="P38" i="11" s="1"/>
  <c r="Q38" i="11" s="1"/>
  <c r="R38" i="11" s="1"/>
  <c r="S38" i="11" s="1"/>
  <c r="T38" i="11" s="1"/>
  <c r="U38" i="11" s="1"/>
  <c r="E31" i="9" s="1"/>
  <c r="D31" i="9" s="1"/>
  <c r="K53" i="11"/>
  <c r="L53" i="11" s="1"/>
  <c r="M53" i="11" s="1"/>
  <c r="N53" i="11" s="1"/>
  <c r="O53" i="11" s="1"/>
  <c r="P53" i="11" s="1"/>
  <c r="Q53" i="11" s="1"/>
  <c r="R53" i="11" s="1"/>
  <c r="S53" i="11" s="1"/>
  <c r="T53" i="11" s="1"/>
  <c r="U53" i="11" s="1"/>
  <c r="E46" i="9" s="1"/>
  <c r="D46" i="9" s="1"/>
  <c r="K16" i="11"/>
  <c r="L16" i="11" s="1"/>
  <c r="M16" i="11" s="1"/>
  <c r="N16" i="11" s="1"/>
  <c r="O16" i="11" s="1"/>
  <c r="P16" i="11" s="1"/>
  <c r="Q16" i="11" s="1"/>
  <c r="R16" i="11" s="1"/>
  <c r="S16" i="11" s="1"/>
  <c r="T16" i="11" s="1"/>
  <c r="K27" i="11"/>
  <c r="L27" i="11" s="1"/>
  <c r="M27" i="11" s="1"/>
  <c r="N27" i="11" s="1"/>
  <c r="O27" i="11" s="1"/>
  <c r="P27" i="11" s="1"/>
  <c r="Q27" i="11" s="1"/>
  <c r="R27" i="11" s="1"/>
  <c r="S27" i="11" s="1"/>
  <c r="T27" i="11" s="1"/>
  <c r="K18" i="11"/>
  <c r="L18" i="11" s="1"/>
  <c r="M18" i="11" s="1"/>
  <c r="N18" i="11" s="1"/>
  <c r="O18" i="11" s="1"/>
  <c r="P18" i="11" s="1"/>
  <c r="Q18" i="11" s="1"/>
  <c r="R18" i="11" s="1"/>
  <c r="S18" i="11" s="1"/>
  <c r="T18" i="11" s="1"/>
  <c r="H19" i="13" s="1"/>
  <c r="K32" i="11"/>
  <c r="L32" i="11" s="1"/>
  <c r="M32" i="11" s="1"/>
  <c r="N32" i="11" s="1"/>
  <c r="O32" i="11" s="1"/>
  <c r="P32" i="11" s="1"/>
  <c r="Q32" i="11" s="1"/>
  <c r="R32" i="11" s="1"/>
  <c r="S32" i="11" s="1"/>
  <c r="T32" i="11" s="1"/>
  <c r="B16" i="9"/>
  <c r="U20" i="11"/>
  <c r="K48" i="11"/>
  <c r="L48" i="11" s="1"/>
  <c r="M48" i="11" s="1"/>
  <c r="N48" i="11" s="1"/>
  <c r="O48" i="11" s="1"/>
  <c r="P48" i="11" s="1"/>
  <c r="Q48" i="11" s="1"/>
  <c r="R48" i="11" s="1"/>
  <c r="S48" i="11" s="1"/>
  <c r="T48" i="11" s="1"/>
  <c r="U48" i="11" s="1"/>
  <c r="E41" i="9" s="1"/>
  <c r="D41" i="9" s="1"/>
  <c r="K33" i="11"/>
  <c r="L33" i="11" s="1"/>
  <c r="M33" i="11" s="1"/>
  <c r="N33" i="11" s="1"/>
  <c r="O33" i="11" s="1"/>
  <c r="P33" i="11" s="1"/>
  <c r="Q33" i="11" s="1"/>
  <c r="R33" i="11" s="1"/>
  <c r="S33" i="11" s="1"/>
  <c r="T33" i="11" s="1"/>
  <c r="U30" i="11"/>
  <c r="B21" i="9"/>
  <c r="U35" i="11"/>
  <c r="C23" i="9"/>
  <c r="K47" i="11"/>
  <c r="L47" i="11" s="1"/>
  <c r="M47" i="11" s="1"/>
  <c r="N47" i="11" s="1"/>
  <c r="O47" i="11" s="1"/>
  <c r="P47" i="11" s="1"/>
  <c r="Q47" i="11" s="1"/>
  <c r="R47" i="11" s="1"/>
  <c r="S47" i="11" s="1"/>
  <c r="T47" i="11" s="1"/>
  <c r="U47" i="11" s="1"/>
  <c r="E40" i="9" s="1"/>
  <c r="D40" i="9" s="1"/>
  <c r="K17" i="11"/>
  <c r="L17" i="11" s="1"/>
  <c r="M17" i="11" s="1"/>
  <c r="N17" i="11" s="1"/>
  <c r="O17" i="11" s="1"/>
  <c r="P17" i="11" s="1"/>
  <c r="Q17" i="11" s="1"/>
  <c r="R17" i="11" s="1"/>
  <c r="S17" i="11" s="1"/>
  <c r="T17" i="11" s="1"/>
  <c r="K21" i="11"/>
  <c r="L21" i="11" s="1"/>
  <c r="M21" i="11" s="1"/>
  <c r="N21" i="11" s="1"/>
  <c r="O21" i="11" s="1"/>
  <c r="P21" i="11" s="1"/>
  <c r="Q21" i="11" s="1"/>
  <c r="R21" i="11" s="1"/>
  <c r="S21" i="11" s="1"/>
  <c r="T21" i="11" s="1"/>
  <c r="K54" i="11"/>
  <c r="L54" i="11" s="1"/>
  <c r="M54" i="11" s="1"/>
  <c r="N54" i="11" s="1"/>
  <c r="O54" i="11" s="1"/>
  <c r="P54" i="11" s="1"/>
  <c r="Q54" i="11" s="1"/>
  <c r="R54" i="11" s="1"/>
  <c r="S54" i="11" s="1"/>
  <c r="T54" i="11" s="1"/>
  <c r="U54" i="11" s="1"/>
  <c r="E47" i="9" s="1"/>
  <c r="D47" i="9" s="1"/>
  <c r="K46" i="11"/>
  <c r="L46" i="11" s="1"/>
  <c r="M46" i="11" s="1"/>
  <c r="N46" i="11" s="1"/>
  <c r="O46" i="11" s="1"/>
  <c r="P46" i="11" s="1"/>
  <c r="Q46" i="11" s="1"/>
  <c r="R46" i="11" s="1"/>
  <c r="S46" i="11" s="1"/>
  <c r="T46" i="11" s="1"/>
  <c r="U46" i="11" s="1"/>
  <c r="E39" i="9" s="1"/>
  <c r="D39" i="9" s="1"/>
  <c r="K36" i="11"/>
  <c r="L36" i="11" s="1"/>
  <c r="M36" i="11" s="1"/>
  <c r="N36" i="11" s="1"/>
  <c r="O36" i="11" s="1"/>
  <c r="P36" i="11" s="1"/>
  <c r="Q36" i="11" s="1"/>
  <c r="R36" i="11" s="1"/>
  <c r="S36" i="11" s="1"/>
  <c r="T36" i="11" s="1"/>
  <c r="K37" i="11"/>
  <c r="L37" i="11" s="1"/>
  <c r="M37" i="11" s="1"/>
  <c r="N37" i="11" s="1"/>
  <c r="O37" i="11" s="1"/>
  <c r="P37" i="11" s="1"/>
  <c r="Q37" i="11" s="1"/>
  <c r="R37" i="11" s="1"/>
  <c r="S37" i="11" s="1"/>
  <c r="T37" i="11" s="1"/>
  <c r="K29" i="11"/>
  <c r="L29" i="11" s="1"/>
  <c r="M29" i="11" s="1"/>
  <c r="N29" i="11" s="1"/>
  <c r="O29" i="11" s="1"/>
  <c r="P29" i="11" s="1"/>
  <c r="Q29" i="11" s="1"/>
  <c r="R29" i="11" s="1"/>
  <c r="S29" i="11" s="1"/>
  <c r="T29" i="11" s="1"/>
  <c r="K25" i="11"/>
  <c r="L25" i="11" s="1"/>
  <c r="M25" i="11" s="1"/>
  <c r="N25" i="11" s="1"/>
  <c r="O25" i="11" s="1"/>
  <c r="P25" i="11" s="1"/>
  <c r="Q25" i="11" s="1"/>
  <c r="R25" i="11" s="1"/>
  <c r="S25" i="11" s="1"/>
  <c r="T25" i="11" s="1"/>
  <c r="K31" i="11"/>
  <c r="L31" i="11" s="1"/>
  <c r="M31" i="11" s="1"/>
  <c r="N31" i="11" s="1"/>
  <c r="O31" i="11" s="1"/>
  <c r="P31" i="11" s="1"/>
  <c r="Q31" i="11" s="1"/>
  <c r="R31" i="11" s="1"/>
  <c r="S31" i="11" s="1"/>
  <c r="T31" i="11" s="1"/>
  <c r="V17" i="3"/>
  <c r="P20" i="2" s="1"/>
  <c r="R14" i="3"/>
  <c r="M17" i="2" s="1"/>
  <c r="P15" i="3"/>
  <c r="V16" i="3"/>
  <c r="P19" i="2" s="1"/>
  <c r="K41" i="11"/>
  <c r="L41" i="11" s="1"/>
  <c r="M41" i="11" s="1"/>
  <c r="N41" i="11" s="1"/>
  <c r="O41" i="11" s="1"/>
  <c r="P41" i="11" s="1"/>
  <c r="Q41" i="11" s="1"/>
  <c r="R41" i="11" s="1"/>
  <c r="S41" i="11" s="1"/>
  <c r="T41" i="11" s="1"/>
  <c r="U41" i="11" s="1"/>
  <c r="E34" i="9" s="1"/>
  <c r="D34" i="9" s="1"/>
  <c r="K49" i="11"/>
  <c r="L49" i="11" s="1"/>
  <c r="M49" i="11" s="1"/>
  <c r="N49" i="11" s="1"/>
  <c r="O49" i="11" s="1"/>
  <c r="P49" i="11" s="1"/>
  <c r="Q49" i="11" s="1"/>
  <c r="R49" i="11" s="1"/>
  <c r="S49" i="11" s="1"/>
  <c r="T49" i="11" s="1"/>
  <c r="U49" i="11" s="1"/>
  <c r="E42" i="9" s="1"/>
  <c r="D42" i="9" s="1"/>
  <c r="K34" i="11"/>
  <c r="L34" i="11" s="1"/>
  <c r="M34" i="11" s="1"/>
  <c r="N34" i="11" s="1"/>
  <c r="O34" i="11" s="1"/>
  <c r="P34" i="11" s="1"/>
  <c r="Q34" i="11" s="1"/>
  <c r="R34" i="11" s="1"/>
  <c r="S34" i="11" s="1"/>
  <c r="T34" i="11" s="1"/>
  <c r="V15" i="3"/>
  <c r="P18" i="2" s="1"/>
  <c r="Q15" i="3"/>
  <c r="L18" i="2" s="1"/>
  <c r="O16" i="3"/>
  <c r="AO28" i="3"/>
  <c r="AO26" i="3"/>
  <c r="U26" i="3"/>
  <c r="H9" i="1"/>
  <c r="L51" i="3"/>
  <c r="L46" i="3"/>
  <c r="L41" i="3"/>
  <c r="L36" i="3"/>
  <c r="L31" i="3"/>
  <c r="AO36" i="3"/>
  <c r="E9" i="1"/>
  <c r="U51" i="3"/>
  <c r="U48" i="3"/>
  <c r="AO39" i="3"/>
  <c r="L37" i="3"/>
  <c r="U28" i="3"/>
  <c r="U46" i="3"/>
  <c r="L38" i="3"/>
  <c r="L16" i="3"/>
  <c r="AL14" i="3"/>
  <c r="U31" i="3"/>
  <c r="L14" i="3"/>
  <c r="U41" i="3"/>
  <c r="L33" i="3"/>
  <c r="AO27" i="3"/>
  <c r="U25" i="3"/>
  <c r="AO14" i="3"/>
  <c r="E8" i="1"/>
  <c r="U43" i="3"/>
  <c r="AO42" i="3"/>
  <c r="U19" i="3"/>
  <c r="L48" i="3"/>
  <c r="L43" i="3"/>
  <c r="L40" i="3"/>
  <c r="U39" i="3"/>
  <c r="AO13" i="3"/>
  <c r="B5" i="1"/>
  <c r="U36" i="3"/>
  <c r="L27" i="3"/>
  <c r="L25" i="3"/>
  <c r="F8" i="1"/>
  <c r="L50" i="3"/>
  <c r="U38" i="3"/>
  <c r="L32" i="3"/>
  <c r="AO47" i="3"/>
  <c r="L42" i="3"/>
  <c r="U33" i="3"/>
  <c r="L21" i="3"/>
  <c r="AM13" i="3"/>
  <c r="AO31" i="3"/>
  <c r="L17" i="3"/>
  <c r="AL13" i="3"/>
  <c r="AO18" i="3"/>
  <c r="AO34" i="3"/>
  <c r="U45" i="3"/>
  <c r="AO41" i="3"/>
  <c r="AO29" i="3"/>
  <c r="U14" i="3"/>
  <c r="U35" i="3"/>
  <c r="U34" i="3"/>
  <c r="L19" i="3"/>
  <c r="H10" i="1"/>
  <c r="AO46" i="3"/>
  <c r="U30" i="3"/>
  <c r="E10" i="1"/>
  <c r="AN13" i="3"/>
  <c r="AN14" i="3"/>
  <c r="G9" i="1"/>
  <c r="U12" i="3"/>
  <c r="F10" i="1"/>
  <c r="L20" i="3"/>
  <c r="AO38" i="3"/>
  <c r="U29" i="3"/>
  <c r="AO17" i="3"/>
  <c r="L47" i="3"/>
  <c r="AO45" i="3"/>
  <c r="AO16" i="3"/>
  <c r="AO40" i="3"/>
  <c r="U50" i="3"/>
  <c r="AO48" i="3"/>
  <c r="L13" i="3"/>
  <c r="U32" i="3"/>
  <c r="U22" i="3"/>
  <c r="L34" i="3"/>
  <c r="AO49" i="3"/>
  <c r="L45" i="3"/>
  <c r="L28" i="3"/>
  <c r="F9" i="1"/>
  <c r="AO15" i="3"/>
  <c r="L15" i="3"/>
  <c r="L35" i="3"/>
  <c r="AO12" i="3"/>
  <c r="L30" i="3"/>
  <c r="AO50" i="3"/>
  <c r="AM14" i="3"/>
  <c r="AO22" i="3"/>
  <c r="U16" i="3"/>
  <c r="L49" i="3"/>
  <c r="U23" i="3"/>
  <c r="U13" i="3"/>
  <c r="AO21" i="3"/>
  <c r="U40" i="3"/>
  <c r="AO33" i="3"/>
  <c r="AO51" i="3"/>
  <c r="U37" i="3"/>
  <c r="U21" i="3"/>
  <c r="AO24" i="3"/>
  <c r="U44" i="3"/>
  <c r="U47" i="3"/>
  <c r="AO23" i="3"/>
  <c r="U15" i="3"/>
  <c r="AN12" i="3"/>
  <c r="AO25" i="3"/>
  <c r="U18" i="3"/>
  <c r="L44" i="3"/>
  <c r="AO19" i="3"/>
  <c r="AL15" i="3"/>
  <c r="AO35" i="3"/>
  <c r="AO44" i="3"/>
  <c r="AL12" i="3"/>
  <c r="U17" i="3"/>
  <c r="G8" i="1"/>
  <c r="U27" i="3"/>
  <c r="L39" i="3"/>
  <c r="L26" i="3"/>
  <c r="U49" i="3"/>
  <c r="U24" i="3"/>
  <c r="U42" i="3"/>
  <c r="L18" i="3"/>
  <c r="AO37" i="3"/>
  <c r="L23" i="3"/>
  <c r="L24" i="3"/>
  <c r="U20" i="3"/>
  <c r="L12" i="3"/>
  <c r="AO30" i="3"/>
  <c r="L22" i="3"/>
  <c r="AM12" i="3"/>
  <c r="L29" i="3"/>
  <c r="G10" i="1"/>
  <c r="AO20" i="3"/>
  <c r="AO43" i="3"/>
  <c r="AO32" i="3"/>
  <c r="K21" i="3"/>
  <c r="K16" i="3"/>
  <c r="K49" i="3"/>
  <c r="K44" i="3"/>
  <c r="K39" i="3"/>
  <c r="K34" i="3"/>
  <c r="K29" i="3"/>
  <c r="K20" i="3"/>
  <c r="K15" i="3"/>
  <c r="K51" i="3"/>
  <c r="K32" i="3"/>
  <c r="K30" i="3"/>
  <c r="K18" i="3"/>
  <c r="K12" i="3"/>
  <c r="K38" i="3"/>
  <c r="K36" i="3"/>
  <c r="K23" i="3"/>
  <c r="K13" i="3"/>
  <c r="K48" i="3"/>
  <c r="K46" i="3"/>
  <c r="K26" i="3"/>
  <c r="K22" i="3"/>
  <c r="K47" i="3"/>
  <c r="K45" i="3"/>
  <c r="K42" i="3"/>
  <c r="K35" i="3"/>
  <c r="K33" i="3"/>
  <c r="K28" i="3"/>
  <c r="K40" i="3"/>
  <c r="K31" i="3"/>
  <c r="K43" i="3"/>
  <c r="K37" i="3"/>
  <c r="K19" i="3"/>
  <c r="K27" i="3"/>
  <c r="K25" i="3"/>
  <c r="K50" i="3"/>
  <c r="K41" i="3"/>
  <c r="K14" i="3"/>
  <c r="K17" i="3"/>
  <c r="K24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5" i="3"/>
  <c r="J27" i="3"/>
  <c r="J26" i="3"/>
  <c r="J24" i="3"/>
  <c r="J28" i="3"/>
  <c r="J20" i="3"/>
  <c r="J12" i="3"/>
  <c r="J16" i="3"/>
  <c r="J18" i="3"/>
  <c r="J13" i="3"/>
  <c r="J15" i="3"/>
  <c r="J23" i="3"/>
  <c r="V12" i="3"/>
  <c r="P15" i="2" s="1"/>
  <c r="J17" i="3"/>
  <c r="J19" i="3"/>
  <c r="J21" i="3"/>
  <c r="J14" i="3"/>
  <c r="J22" i="3"/>
  <c r="U24" i="11" l="1"/>
  <c r="B18" i="9"/>
  <c r="B19" i="9"/>
  <c r="U26" i="11"/>
  <c r="C17" i="9"/>
  <c r="U23" i="11"/>
  <c r="B17" i="9"/>
  <c r="U22" i="11"/>
  <c r="H20" i="13"/>
  <c r="U19" i="11"/>
  <c r="G10" i="9"/>
  <c r="B20" i="9"/>
  <c r="U28" i="11"/>
  <c r="H17" i="13"/>
  <c r="U16" i="11"/>
  <c r="H10" i="9"/>
  <c r="H7" i="9"/>
  <c r="G7" i="9"/>
  <c r="H8" i="9"/>
  <c r="H18" i="13"/>
  <c r="U27" i="11"/>
  <c r="C19" i="9"/>
  <c r="H9" i="9"/>
  <c r="G9" i="9"/>
  <c r="U18" i="11"/>
  <c r="B22" i="9"/>
  <c r="U32" i="11"/>
  <c r="C22" i="9"/>
  <c r="U33" i="11"/>
  <c r="U17" i="11"/>
  <c r="G8" i="9"/>
  <c r="C16" i="9"/>
  <c r="U21" i="11"/>
  <c r="C20" i="9"/>
  <c r="U29" i="11"/>
  <c r="U25" i="11"/>
  <c r="C18" i="9"/>
  <c r="C21" i="9"/>
  <c r="U31" i="11"/>
  <c r="B24" i="9"/>
  <c r="U36" i="11"/>
  <c r="U37" i="11"/>
  <c r="C24" i="9"/>
  <c r="R15" i="3"/>
  <c r="P16" i="3"/>
  <c r="Q16" i="3" s="1"/>
  <c r="U34" i="11"/>
  <c r="B23" i="9"/>
  <c r="AM15" i="3"/>
  <c r="AI14" i="3"/>
  <c r="AE19" i="3"/>
  <c r="AE20" i="3"/>
  <c r="AE14" i="3"/>
  <c r="AI20" i="3"/>
  <c r="AA27" i="3"/>
  <c r="AI18" i="3"/>
  <c r="AE18" i="3"/>
  <c r="AA15" i="3"/>
  <c r="AA18" i="3"/>
  <c r="AA20" i="3"/>
  <c r="AA25" i="3"/>
  <c r="AA22" i="3"/>
  <c r="AE16" i="3"/>
  <c r="AA14" i="3"/>
  <c r="H8" i="1"/>
  <c r="AA21" i="3"/>
  <c r="AI16" i="3"/>
  <c r="AA12" i="3"/>
  <c r="AA13" i="3"/>
  <c r="AI15" i="3"/>
  <c r="AE13" i="3"/>
  <c r="AA24" i="3"/>
  <c r="AI13" i="3"/>
  <c r="AI22" i="3"/>
  <c r="AE22" i="3"/>
  <c r="AI12" i="3"/>
  <c r="AE25" i="3"/>
  <c r="AE12" i="3"/>
  <c r="AI19" i="3"/>
  <c r="AE17" i="3"/>
  <c r="AA16" i="3"/>
  <c r="AA28" i="3"/>
  <c r="AA19" i="3"/>
  <c r="AE23" i="3"/>
  <c r="AA26" i="3"/>
  <c r="AE24" i="3"/>
  <c r="AI17" i="3"/>
  <c r="AI21" i="3"/>
  <c r="AE21" i="3"/>
  <c r="AE15" i="3"/>
  <c r="AA23" i="3"/>
  <c r="AA17" i="3"/>
  <c r="O17" i="3"/>
  <c r="D22" i="9" l="1"/>
  <c r="D17" i="9"/>
  <c r="D20" i="9"/>
  <c r="D16" i="9"/>
  <c r="D23" i="9"/>
  <c r="D19" i="9"/>
  <c r="D18" i="9"/>
  <c r="D21" i="9"/>
  <c r="D24" i="9"/>
  <c r="P17" i="3"/>
  <c r="R16" i="3"/>
  <c r="AL16" i="3"/>
  <c r="M18" i="2"/>
  <c r="AN15" i="3"/>
  <c r="L19" i="2"/>
  <c r="AM16" i="3"/>
  <c r="O18" i="3"/>
  <c r="Q17" i="3"/>
  <c r="M19" i="2" l="1"/>
  <c r="AN16" i="3"/>
  <c r="AL17" i="3"/>
  <c r="R17" i="3"/>
  <c r="P18" i="3"/>
  <c r="Q18" i="3" s="1"/>
  <c r="L20" i="2"/>
  <c r="AM17" i="3"/>
  <c r="O19" i="3"/>
  <c r="P19" i="3" l="1"/>
  <c r="AL18" i="3"/>
  <c r="R18" i="3"/>
  <c r="M20" i="2"/>
  <c r="AN17" i="3"/>
  <c r="Q19" i="3"/>
  <c r="O20" i="3"/>
  <c r="L21" i="2"/>
  <c r="AM18" i="3"/>
  <c r="AN18" i="3" l="1"/>
  <c r="M21" i="2"/>
  <c r="R19" i="3"/>
  <c r="P20" i="3"/>
  <c r="Q20" i="3" s="1"/>
  <c r="AL19" i="3"/>
  <c r="O21" i="3"/>
  <c r="L22" i="2"/>
  <c r="AM19" i="3"/>
  <c r="M22" i="2" l="1"/>
  <c r="AN19" i="3"/>
  <c r="AL20" i="3"/>
  <c r="P21" i="3"/>
  <c r="Q21" i="3" s="1"/>
  <c r="R20" i="3"/>
  <c r="L23" i="2"/>
  <c r="AM20" i="3"/>
  <c r="O22" i="3"/>
  <c r="AN20" i="3" l="1"/>
  <c r="M23" i="2"/>
  <c r="P22" i="3"/>
  <c r="R21" i="3"/>
  <c r="AL21" i="3"/>
  <c r="O23" i="3"/>
  <c r="Q22" i="3"/>
  <c r="L24" i="2"/>
  <c r="AM21" i="3"/>
  <c r="AN21" i="3" l="1"/>
  <c r="M24" i="2"/>
  <c r="R22" i="3"/>
  <c r="AL22" i="3"/>
  <c r="P23" i="3"/>
  <c r="Q23" i="3" s="1"/>
  <c r="L25" i="2"/>
  <c r="AM22" i="3"/>
  <c r="O24" i="3"/>
  <c r="R23" i="3" l="1"/>
  <c r="AL23" i="3"/>
  <c r="P24" i="3"/>
  <c r="AN22" i="3"/>
  <c r="M25" i="2"/>
  <c r="O25" i="3"/>
  <c r="L26" i="2"/>
  <c r="AM23" i="3"/>
  <c r="R24" i="3" l="1"/>
  <c r="P25" i="3"/>
  <c r="AL24" i="3"/>
  <c r="Q24" i="3"/>
  <c r="L27" i="2" s="1"/>
  <c r="M26" i="2"/>
  <c r="AN23" i="3"/>
  <c r="Q25" i="3"/>
  <c r="O26" i="3"/>
  <c r="AM24" i="3" l="1"/>
  <c r="R25" i="3"/>
  <c r="AL25" i="3"/>
  <c r="P26" i="3"/>
  <c r="AN24" i="3"/>
  <c r="M27" i="2"/>
  <c r="O27" i="3"/>
  <c r="L28" i="2"/>
  <c r="AM25" i="3"/>
  <c r="P27" i="3" l="1"/>
  <c r="R26" i="3"/>
  <c r="AL26" i="3"/>
  <c r="Q26" i="3"/>
  <c r="M28" i="2"/>
  <c r="AN25" i="3"/>
  <c r="L29" i="2"/>
  <c r="AM26" i="3"/>
  <c r="Q27" i="3"/>
  <c r="O28" i="3"/>
  <c r="AN26" i="3" l="1"/>
  <c r="M29" i="2"/>
  <c r="R27" i="3"/>
  <c r="AL27" i="3"/>
  <c r="P28" i="3"/>
  <c r="Q28" i="3" s="1"/>
  <c r="O29" i="3"/>
  <c r="L30" i="2"/>
  <c r="AM27" i="3"/>
  <c r="R28" i="3" l="1"/>
  <c r="P29" i="3"/>
  <c r="AL28" i="3"/>
  <c r="M30" i="2"/>
  <c r="AN27" i="3"/>
  <c r="L31" i="2"/>
  <c r="AM28" i="3"/>
  <c r="Q29" i="3"/>
  <c r="O30" i="3"/>
  <c r="R29" i="3" l="1"/>
  <c r="P30" i="3"/>
  <c r="AL29" i="3"/>
  <c r="M31" i="2"/>
  <c r="AN28" i="3"/>
  <c r="O31" i="3"/>
  <c r="L32" i="2"/>
  <c r="AM29" i="3"/>
  <c r="R30" i="3" l="1"/>
  <c r="P31" i="3"/>
  <c r="Q31" i="3" s="1"/>
  <c r="AL30" i="3"/>
  <c r="Q30" i="3"/>
  <c r="L33" i="2" s="1"/>
  <c r="AN29" i="3"/>
  <c r="M32" i="2"/>
  <c r="O32" i="3"/>
  <c r="AM30" i="3" l="1"/>
  <c r="P32" i="3"/>
  <c r="AL31" i="3"/>
  <c r="R31" i="3"/>
  <c r="AN30" i="3"/>
  <c r="M33" i="2"/>
  <c r="O33" i="3"/>
  <c r="Q32" i="3"/>
  <c r="L34" i="2"/>
  <c r="AM31" i="3"/>
  <c r="M34" i="2" l="1"/>
  <c r="AN31" i="3"/>
  <c r="P33" i="3"/>
  <c r="R32" i="3"/>
  <c r="AL32" i="3"/>
  <c r="L35" i="2"/>
  <c r="AM32" i="3"/>
  <c r="O34" i="3"/>
  <c r="Q33" i="3"/>
  <c r="M35" i="2" l="1"/>
  <c r="AN32" i="3"/>
  <c r="R33" i="3"/>
  <c r="AL33" i="3"/>
  <c r="P34" i="3"/>
  <c r="Q34" i="3" s="1"/>
  <c r="O35" i="3"/>
  <c r="L36" i="2"/>
  <c r="AM33" i="3"/>
  <c r="AN33" i="3" l="1"/>
  <c r="M36" i="2"/>
  <c r="AL34" i="3"/>
  <c r="R34" i="3"/>
  <c r="P35" i="3"/>
  <c r="L37" i="2"/>
  <c r="AM34" i="3"/>
  <c r="O36" i="3"/>
  <c r="P36" i="3" l="1"/>
  <c r="R35" i="3"/>
  <c r="AL35" i="3"/>
  <c r="M37" i="2"/>
  <c r="AN34" i="3"/>
  <c r="Q35" i="3"/>
  <c r="L38" i="2" s="1"/>
  <c r="Q36" i="3"/>
  <c r="O37" i="3"/>
  <c r="AM35" i="3" l="1"/>
  <c r="AN35" i="3"/>
  <c r="M38" i="2"/>
  <c r="P37" i="3"/>
  <c r="Q37" i="3" s="1"/>
  <c r="R36" i="3"/>
  <c r="AL36" i="3"/>
  <c r="O38" i="3"/>
  <c r="L39" i="2"/>
  <c r="AM36" i="3"/>
  <c r="M39" i="2" l="1"/>
  <c r="AN36" i="3"/>
  <c r="P38" i="3"/>
  <c r="AL37" i="3"/>
  <c r="R37" i="3"/>
  <c r="L40" i="2"/>
  <c r="AM37" i="3"/>
  <c r="O39" i="3"/>
  <c r="Q38" i="3"/>
  <c r="R38" i="3" l="1"/>
  <c r="P39" i="3"/>
  <c r="Q39" i="3" s="1"/>
  <c r="AL38" i="3"/>
  <c r="AN37" i="3"/>
  <c r="M40" i="2"/>
  <c r="O40" i="3"/>
  <c r="L41" i="2"/>
  <c r="AM38" i="3"/>
  <c r="P40" i="3" l="1"/>
  <c r="AL39" i="3"/>
  <c r="R39" i="3"/>
  <c r="M41" i="2"/>
  <c r="AN38" i="3"/>
  <c r="L42" i="2"/>
  <c r="AM39" i="3"/>
  <c r="Q40" i="3"/>
  <c r="O41" i="3"/>
  <c r="M42" i="2" l="1"/>
  <c r="AN39" i="3"/>
  <c r="P41" i="3"/>
  <c r="AL40" i="3"/>
  <c r="R40" i="3"/>
  <c r="O42" i="3"/>
  <c r="L43" i="2"/>
  <c r="AM40" i="3"/>
  <c r="AN40" i="3" l="1"/>
  <c r="M43" i="2"/>
  <c r="AL41" i="3"/>
  <c r="P42" i="3"/>
  <c r="R41" i="3"/>
  <c r="Q41" i="3"/>
  <c r="AM41" i="3" s="1"/>
  <c r="O43" i="3"/>
  <c r="L44" i="2" l="1"/>
  <c r="AN41" i="3"/>
  <c r="M44" i="2"/>
  <c r="P43" i="3"/>
  <c r="R42" i="3"/>
  <c r="AL42" i="3"/>
  <c r="Q42" i="3"/>
  <c r="L45" i="2" s="1"/>
  <c r="Q43" i="3"/>
  <c r="O44" i="3"/>
  <c r="AM42" i="3" l="1"/>
  <c r="AN42" i="3"/>
  <c r="M45" i="2"/>
  <c r="P44" i="3"/>
  <c r="AL43" i="3"/>
  <c r="R43" i="3"/>
  <c r="Q44" i="3"/>
  <c r="O45" i="3"/>
  <c r="L46" i="2"/>
  <c r="AM43" i="3"/>
  <c r="AN43" i="3" l="1"/>
  <c r="M46" i="2"/>
  <c r="AL44" i="3"/>
  <c r="P45" i="3"/>
  <c r="Q45" i="3" s="1"/>
  <c r="R44" i="3"/>
  <c r="O46" i="3"/>
  <c r="L47" i="2"/>
  <c r="AM44" i="3"/>
  <c r="AN44" i="3" l="1"/>
  <c r="M47" i="2"/>
  <c r="R45" i="3"/>
  <c r="P46" i="3"/>
  <c r="Q46" i="3" s="1"/>
  <c r="AL45" i="3"/>
  <c r="O47" i="3"/>
  <c r="L48" i="2"/>
  <c r="AM45" i="3"/>
  <c r="P47" i="3" l="1"/>
  <c r="AL46" i="3"/>
  <c r="R46" i="3"/>
  <c r="M48" i="2"/>
  <c r="AN45" i="3"/>
  <c r="O48" i="3"/>
  <c r="Q47" i="3"/>
  <c r="L49" i="2"/>
  <c r="AM46" i="3"/>
  <c r="AN46" i="3" l="1"/>
  <c r="M49" i="2"/>
  <c r="P48" i="3"/>
  <c r="R47" i="3"/>
  <c r="AL47" i="3"/>
  <c r="L50" i="2"/>
  <c r="AM47" i="3"/>
  <c r="O49" i="3"/>
  <c r="Q48" i="3"/>
  <c r="M50" i="2" l="1"/>
  <c r="AN47" i="3"/>
  <c r="P49" i="3"/>
  <c r="Q49" i="3" s="1"/>
  <c r="R48" i="3"/>
  <c r="AL48" i="3"/>
  <c r="O50" i="3"/>
  <c r="L51" i="2"/>
  <c r="AM48" i="3"/>
  <c r="M51" i="2" l="1"/>
  <c r="AN48" i="3"/>
  <c r="P50" i="3"/>
  <c r="AL49" i="3"/>
  <c r="R49" i="3"/>
  <c r="L52" i="2"/>
  <c r="AM49" i="3"/>
  <c r="Q50" i="3"/>
  <c r="O51" i="3"/>
  <c r="M52" i="2" l="1"/>
  <c r="AN49" i="3"/>
  <c r="P51" i="3"/>
  <c r="R50" i="3"/>
  <c r="AL50" i="3"/>
  <c r="Q51" i="3"/>
  <c r="L54" i="2" s="1"/>
  <c r="L53" i="2"/>
  <c r="AM50" i="3"/>
  <c r="AM51" i="3"/>
  <c r="M53" i="2" l="1"/>
  <c r="AN50" i="3"/>
  <c r="AL51" i="3"/>
  <c r="R51" i="3"/>
  <c r="AN51" i="3" l="1"/>
  <c r="M5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834CFD-B406-4744-9871-853FF82DE2C3}" keepAlive="1" name="Forespørgsel - Activities (2)" description="Forbindelse til forespørgslen 'Activities (2)' i projektmappen." type="5" refreshedVersion="0" background="1">
    <dbPr connection="Provider=Microsoft.Mashup.OleDb.1;Data Source=$Workbook$;Location=&quot;Activities (2)&quot;;Extended Properties=&quot;&quot;" command="SELECT * FROM [Activities (2)]"/>
  </connection>
</connections>
</file>

<file path=xl/sharedStrings.xml><?xml version="1.0" encoding="utf-8"?>
<sst xmlns="http://schemas.openxmlformats.org/spreadsheetml/2006/main" count="315" uniqueCount="283">
  <si>
    <t>Status sammenlignes til og med seneste uge med indtastede timer. Tomme uger er ikke nul.</t>
  </si>
  <si>
    <t>Seneste registrering</t>
  </si>
  <si>
    <t>Periode</t>
  </si>
  <si>
    <t>Fra</t>
  </si>
  <si>
    <t>Til</t>
  </si>
  <si>
    <t>Timer/uge</t>
  </si>
  <si>
    <t>Timer udført</t>
  </si>
  <si>
    <t>Nedre til dato</t>
  </si>
  <si>
    <t>Øvre til dato</t>
  </si>
  <si>
    <t>Status</t>
  </si>
  <si>
    <t>Registreret i alt</t>
  </si>
  <si>
    <t>Kilometer</t>
  </si>
  <si>
    <t>Højdemeter</t>
  </si>
  <si>
    <t>Timer</t>
  </si>
  <si>
    <t>Navn</t>
  </si>
  <si>
    <t>Hold</t>
  </si>
  <si>
    <t>Maks. puls</t>
  </si>
  <si>
    <t>Vægt kg</t>
  </si>
  <si>
    <t>Gns. watt</t>
  </si>
  <si>
    <t>FTP/kg</t>
  </si>
  <si>
    <t>Gns. W/kg</t>
  </si>
  <si>
    <t>Puls / maks.</t>
  </si>
  <si>
    <t>Sådan læses målingerne</t>
  </si>
  <si>
    <t>Timer, kilometer og højdemeter er ugens totaler. Vægt er en måling, FTP er den seneste testværdi.</t>
  </si>
  <si>
    <t>FTP/kg = seneste FTP / seneste vægt. Gns. W/kg = ugens gennemsnitswatt / seneste vægt.</t>
  </si>
  <si>
    <t>Videreførte FTP- og vægtværdier er senest kendte værdier, ikke nye målinger hver uge.</t>
  </si>
  <si>
    <t>Z1: 50–&lt;60 %. Z2: 60–&lt;70 %. Z3: 70–&lt;80 %. Z4: 80–&lt;90 %. Z5: 90–100 % af maks. puls.</t>
  </si>
  <si>
    <t>Gennemsnit kan skjule intervaller. Derfor beregnes hverken TSS, tid i zoner eller belastningsscore.</t>
  </si>
  <si>
    <t>Tomt timefelt betyder ikke registreret. Skriv 0 for bekræftet nul træning; angiv også 0 km og 0 højdemeter.</t>
  </si>
  <si>
    <t>Ved et hul før seneste registrering vises Mangler uger. Udfyld hullet for at få en samlet vurdering.</t>
  </si>
  <si>
    <t>Periodeskift: 28/12–3/1 fordeles 4/7 BASE og 3/7 OPBYGNING; 29/3–4/4 fordeles 3/7 og 4/7.</t>
  </si>
  <si>
    <t>Pulszoner: https://support.polar.com/e_manuals/polar-loop/polar-loop-user-manual-english/heart-rate-zones.htm</t>
  </si>
  <si>
    <t>Watt: https://www.trainingpeaks.com/learn/articles/normalized-power-intensity-factor-training-stress/</t>
  </si>
  <si>
    <t>Beregninger og forudsætninger</t>
  </si>
  <si>
    <t>Seneste uge slut</t>
  </si>
  <si>
    <t>Start</t>
  </si>
  <si>
    <t>Slut</t>
  </si>
  <si>
    <t>BASE</t>
  </si>
  <si>
    <t>OPBYGNING</t>
  </si>
  <si>
    <t>FORBEREDELSE</t>
  </si>
  <si>
    <t>Uge</t>
  </si>
  <si>
    <t>Ugeslut</t>
  </si>
  <si>
    <t>Dage</t>
  </si>
  <si>
    <t>BASE dage</t>
  </si>
  <si>
    <t>OPB dage</t>
  </si>
  <si>
    <t>FORB dage</t>
  </si>
  <si>
    <t>Min. timer</t>
  </si>
  <si>
    <t>Maks. timer</t>
  </si>
  <si>
    <t>Ugetimer</t>
  </si>
  <si>
    <t>Akk. min.</t>
  </si>
  <si>
    <t>Akk. maks.</t>
  </si>
  <si>
    <t>Akk. udført</t>
  </si>
  <si>
    <t>Km</t>
  </si>
  <si>
    <t>Hm</t>
  </si>
  <si>
    <t>Aktuel FTP</t>
  </si>
  <si>
    <t>Aktuel kg</t>
  </si>
  <si>
    <t>Pulsandel</t>
  </si>
  <si>
    <t>Pulszone</t>
  </si>
  <si>
    <t>Mangler uge</t>
  </si>
  <si>
    <t>Ugestatus</t>
  </si>
  <si>
    <t>Registreret slut</t>
  </si>
  <si>
    <t>Nedre anbefaling</t>
  </si>
  <si>
    <t>Øvre anbefaling</t>
  </si>
  <si>
    <t>Udført</t>
  </si>
  <si>
    <t>Timer pr. dag</t>
  </si>
  <si>
    <t>Træningsperiode</t>
  </si>
  <si>
    <r>
      <rPr>
        <b/>
        <sz val="11"/>
        <color rgb="FF243A30"/>
        <rFont val="Work Sans"/>
      </rPr>
      <t>Grønne kurver:</t>
    </r>
    <r>
      <rPr>
        <sz val="11"/>
        <color rgb="FF243A30"/>
        <rFont val="Work Sans"/>
      </rPr>
      <t xml:space="preserve"> Anbefalet interval. </t>
    </r>
    <r>
      <rPr>
        <b/>
        <sz val="11"/>
        <color rgb="FF243A30"/>
        <rFont val="Work Sans"/>
      </rPr>
      <t>Orange kurver:</t>
    </r>
    <r>
      <rPr>
        <sz val="11"/>
        <color rgb="FF243A30"/>
        <rFont val="Work Sans"/>
      </rPr>
      <t xml:space="preserve"> Registreret træning. Periodekurver starter ved nul.</t>
    </r>
  </si>
  <si>
    <t>FTP (w)</t>
  </si>
  <si>
    <t>CYKELNERVEN 2027 - TRÆNINGSMANAGER</t>
  </si>
  <si>
    <t xml:space="preserve">CYKELNERVEN 2027 - Indtast ugentligt dine træningsdata </t>
  </si>
  <si>
    <t>(UDFYLD NEDENSTÅENDE MED DATA FRA DIN TRÆNINGSPLATFORM (Strava, Garmin, Wahoo etc.)</t>
  </si>
  <si>
    <t>TRÆNINGSMANAGER - DASHBOARD</t>
  </si>
  <si>
    <t>(ikke obligatorisk input)</t>
  </si>
  <si>
    <t>FTP (watt)</t>
  </si>
  <si>
    <t>Hvad betyder watt og vægt for din tid til toppen af f.eks. Alpe d’Huez?</t>
  </si>
  <si>
    <r>
      <t xml:space="preserve">Modelantagelser for </t>
    </r>
    <r>
      <rPr>
        <b/>
        <sz val="11"/>
        <color rgb="FF253A30"/>
        <rFont val="Work Sans"/>
      </rPr>
      <t>13,8 km</t>
    </r>
    <r>
      <rPr>
        <sz val="11"/>
        <color rgb="FF253A30"/>
        <rFont val="Work Sans"/>
      </rPr>
      <t xml:space="preserve"> og </t>
    </r>
    <r>
      <rPr>
        <b/>
        <sz val="11"/>
        <color rgb="FF253A30"/>
        <rFont val="Work Sans"/>
      </rPr>
      <t>1.120 højdemeter</t>
    </r>
    <r>
      <rPr>
        <sz val="11"/>
        <color rgb="FF253A30"/>
        <rFont val="Work Sans"/>
      </rPr>
      <t>. Beregningen benytter dine rytterdata og tal fra arket '</t>
    </r>
    <r>
      <rPr>
        <b/>
        <sz val="11"/>
        <color rgb="FF253A30"/>
        <rFont val="Work Sans"/>
      </rPr>
      <t>Forudsætninger og beregninger</t>
    </r>
    <r>
      <rPr>
        <sz val="11"/>
        <color rgb="FF253A30"/>
        <rFont val="Work Sans"/>
      </rPr>
      <t>''.</t>
    </r>
  </si>
  <si>
    <r>
      <t xml:space="preserve">Tiderne vises som </t>
    </r>
    <r>
      <rPr>
        <b/>
        <sz val="11"/>
        <color rgb="FF253A30"/>
        <rFont val="Work Sans"/>
      </rPr>
      <t>timer:minutter</t>
    </r>
    <r>
      <rPr>
        <sz val="11"/>
        <color rgb="FF253A30"/>
        <rFont val="Work Sans"/>
      </rPr>
      <t>. Der antages ingen vind eller pauser undervejs. Disse forudsætninger er fælles for alle scenarier.</t>
    </r>
  </si>
  <si>
    <t>Scenarie</t>
  </si>
  <si>
    <t>FTP W</t>
  </si>
  <si>
    <t>Effekt W</t>
  </si>
  <si>
    <t>Stigning W/kg</t>
  </si>
  <si>
    <t>Tid h:mm</t>
  </si>
  <si>
    <t>Sparet min.</t>
  </si>
  <si>
    <r>
      <t xml:space="preserve">Den valgte andel af </t>
    </r>
    <r>
      <rPr>
        <b/>
        <sz val="11"/>
        <color rgb="FF253A30"/>
        <rFont val="Work Sans"/>
      </rPr>
      <t>FTP</t>
    </r>
    <r>
      <rPr>
        <sz val="11"/>
        <color rgb="FF253A30"/>
        <rFont val="Work Sans"/>
      </rPr>
      <t xml:space="preserve"> er en antagelse. Holdbar effekt afhænger bl.a. af varighed, højde og træthed.</t>
    </r>
  </si>
  <si>
    <t>En vægtreduktion giver kun den viste gevinst, hvis effekten kan bevares. Modellen giver ikke vægtråd.</t>
  </si>
  <si>
    <t>FTP-fremgang</t>
  </si>
  <si>
    <t>Nuværende vægt</t>
  </si>
  <si>
    <t>Scenarie
vægt</t>
  </si>
  <si>
    <t>Nuværende tid</t>
  </si>
  <si>
    <t>Kurverne viser samme FTP-fremgang ved to vægte.</t>
  </si>
  <si>
    <t>Den grønne linje er din nuværende beregnede tid.</t>
  </si>
  <si>
    <t>Fra W/kg på stigningen til opstigningstid</t>
  </si>
  <si>
    <t>Tabellen bruger din nuværende vægt. W/kg er faktisk effekt på stigningen, ikke FTP/kg.</t>
  </si>
  <si>
    <t>Stigning w/kg</t>
  </si>
  <si>
    <t>Effekt (w)</t>
  </si>
  <si>
    <t>Krævet 
FTP (w)</t>
  </si>
  <si>
    <t>Minutter</t>
  </si>
  <si>
    <t xml:space="preserve">Samme w/kg giver ikke præcis samme tid for alle: Cykelvægt og luftmodstand indgår også. Kurverne er beregnede sammenhænge. </t>
  </si>
  <si>
    <r>
      <t xml:space="preserve">Alle effektværdier er </t>
    </r>
    <r>
      <rPr>
        <b/>
        <sz val="11"/>
        <color rgb="FF253A30"/>
        <rFont val="Work Sans"/>
      </rPr>
      <t xml:space="preserve">watt pr. kg. </t>
    </r>
    <r>
      <rPr>
        <sz val="11"/>
        <color rgb="FF253A30"/>
        <rFont val="Work Sans"/>
      </rPr>
      <t>FTP henviser til din Functional Threshold Power (din maks. effekt i én time)</t>
    </r>
  </si>
  <si>
    <t>Række</t>
  </si>
  <si>
    <t>Mænd 5 sek.</t>
  </si>
  <si>
    <t>Mænd 1 min.</t>
  </si>
  <si>
    <t>Mænd 5 min.</t>
  </si>
  <si>
    <t>Mænd FTP</t>
  </si>
  <si>
    <t>Kvinder 5 sek.</t>
  </si>
  <si>
    <t>Kvinder 1 min.</t>
  </si>
  <si>
    <t>Kvinder 5 min.</t>
  </si>
  <si>
    <t>Kvinder FT</t>
  </si>
  <si>
    <t>Valgt FTP</t>
  </si>
  <si>
    <t>Afstand</t>
  </si>
  <si>
    <t>Klasse</t>
  </si>
  <si>
    <t>Kategorier fra 'Training with Power Meter'</t>
  </si>
  <si>
    <t>WORLD CLASS</t>
  </si>
  <si>
    <t>World class</t>
  </si>
  <si>
    <t>International pro</t>
  </si>
  <si>
    <t>Exceptional</t>
  </si>
  <si>
    <t>Domestic pro</t>
  </si>
  <si>
    <t>Excellent</t>
  </si>
  <si>
    <t>Cat. 1</t>
  </si>
  <si>
    <t>Very good</t>
  </si>
  <si>
    <t>Cat. 2</t>
  </si>
  <si>
    <t>Good</t>
  </si>
  <si>
    <t>Cat. 3</t>
  </si>
  <si>
    <t>Moderate</t>
  </si>
  <si>
    <t>Cat. 4</t>
  </si>
  <si>
    <t>Fair</t>
  </si>
  <si>
    <t>Cat. 5</t>
  </si>
  <si>
    <t>EXCEPTIONAL</t>
  </si>
  <si>
    <t>Untrained</t>
  </si>
  <si>
    <t>Non-racer</t>
  </si>
  <si>
    <t>Parenteserne i tabellen overlapper. Se originalen nedenfor.</t>
  </si>
  <si>
    <t>EXCELLENT</t>
  </si>
  <si>
    <t>VERY GOOD</t>
  </si>
  <si>
    <t>GOOD</t>
  </si>
  <si>
    <t>FAIR</t>
  </si>
  <si>
    <t>Længde km</t>
  </si>
  <si>
    <t>Rute: Alpe d’Huez Tourisme, The 21 bends, nøgledata. Længde og højdemeter kan ændres.</t>
  </si>
  <si>
    <t>Højdemeter m</t>
  </si>
  <si>
    <t>https://www.alpedhuez.com/en/activities/summer-activities/bike/the-21-bends/</t>
  </si>
  <si>
    <t>Cykel og udstyr kg</t>
  </si>
  <si>
    <t>Rullemodstand Crr</t>
  </si>
  <si>
    <t>Crr, CdA, lufttæthed og virkningsgrad er illustrerende modelantagelser, ikke målte rytterdata.</t>
  </si>
  <si>
    <t>Luftmodstandsareal CdA</t>
  </si>
  <si>
    <t>Stilstandsfri kørsel, vindstille og konstant effekt på en stigning med gennemsnitlig hældning.</t>
  </si>
  <si>
    <t>Lufttæthed kg/m³</t>
  </si>
  <si>
    <t>Modellen medtager tyngde, rulning, luftmodstand og drivlinjetab; ikke sving, acceleration eller pauser.</t>
  </si>
  <si>
    <t>Drivlinjens virkningsgrad</t>
  </si>
  <si>
    <t>Fysisk grundlag: Martin m.fl. (1998). Forenklet model; ingen selvstændig validering på Alpe d’Huez.</t>
  </si>
  <si>
    <t>Tyngdeacceleration</t>
  </si>
  <si>
    <t>https://collections.lib.utah.edu/dl_files/b4/8e/b48ef26086091662c561e673d7bd990d77868437.pdf</t>
  </si>
  <si>
    <t>Andel af FTP</t>
  </si>
  <si>
    <t>Form: P ved hjulet = F·v + k·v³. Hastigheden løses i otte faste trin uden cirkulære formler.</t>
  </si>
  <si>
    <t>(UNDGÅ AF ÆNDRE ELLER SLETTE NEDENSTÅENDE BEREGNINGER - DE ER GRUNDLAG FOR MODELLEN OG HENVISNINGERNE)</t>
  </si>
  <si>
    <t>Rytter kg</t>
  </si>
  <si>
    <t>FTP-andel</t>
  </si>
  <si>
    <t>Effekt W/kg</t>
  </si>
  <si>
    <t>Total kg</t>
  </si>
  <si>
    <t>Kraft N</t>
  </si>
  <si>
    <t>Luftfaktor</t>
  </si>
  <si>
    <t>Hjuleffekt</t>
  </si>
  <si>
    <t>Start m/s</t>
  </si>
  <si>
    <t>Trin 1</t>
  </si>
  <si>
    <t>Trin 2</t>
  </si>
  <si>
    <t>Trin 3</t>
  </si>
  <si>
    <t>Trin 4</t>
  </si>
  <si>
    <t>Trin 5</t>
  </si>
  <si>
    <t>Trin 6</t>
  </si>
  <si>
    <t>Trin 7</t>
  </si>
  <si>
    <t>Trin 8 m/s</t>
  </si>
  <si>
    <t>Tid døgn</t>
  </si>
  <si>
    <t>Tid minutter</t>
  </si>
  <si>
    <t>Nuværende</t>
  </si>
  <si>
    <t>Mål via watt</t>
  </si>
  <si>
    <t>Mål via vægt</t>
  </si>
  <si>
    <t>Din kombination</t>
  </si>
  <si>
    <t>Kurve nu 0</t>
  </si>
  <si>
    <t>Kurve vægt 0</t>
  </si>
  <si>
    <t>Kurve nu 1</t>
  </si>
  <si>
    <t>Kurve vægt 1</t>
  </si>
  <si>
    <t>Kurve nu 2</t>
  </si>
  <si>
    <t>Kurve vægt 2</t>
  </si>
  <si>
    <t>Kurve nu 3</t>
  </si>
  <si>
    <t>Kurve vægt 3</t>
  </si>
  <si>
    <t>Kurve nu 4</t>
  </si>
  <si>
    <t>Kurve vægt 4</t>
  </si>
  <si>
    <t>Kurve nu 5</t>
  </si>
  <si>
    <t>Kurve vægt 5</t>
  </si>
  <si>
    <t>Kurve nu 6</t>
  </si>
  <si>
    <t>Kurve vægt 6</t>
  </si>
  <si>
    <t>Kurve nu 7</t>
  </si>
  <si>
    <t>Kurve vægt 7</t>
  </si>
  <si>
    <t>Kurve nu 8</t>
  </si>
  <si>
    <t>Kurve vægt 8</t>
  </si>
  <si>
    <t>W/kg 1.5</t>
  </si>
  <si>
    <t>W/kg 1.75</t>
  </si>
  <si>
    <t>W/kg 2</t>
  </si>
  <si>
    <t>W/kg 2.25</t>
  </si>
  <si>
    <t>W/kg 2.5</t>
  </si>
  <si>
    <t>W/kg 2.75</t>
  </si>
  <si>
    <t>W/kg 3</t>
  </si>
  <si>
    <t>W/kg 3.25</t>
  </si>
  <si>
    <t>W/kg 3.5</t>
  </si>
  <si>
    <t>W/kg 3.75</t>
  </si>
  <si>
    <t>W/kg 4</t>
  </si>
  <si>
    <t>W/kg 4.25</t>
  </si>
  <si>
    <t>W/kg 4.5</t>
  </si>
  <si>
    <t>W/kg 4.75</t>
  </si>
  <si>
    <t>W/kg 5</t>
  </si>
  <si>
    <t>W/kg 5.25</t>
  </si>
  <si>
    <t>W/kg 5.5</t>
  </si>
  <si>
    <t>Din status sammenlignes til og med seneste uge med indtastede timer. Tomme uger er ikke nul.</t>
  </si>
  <si>
    <t>DAGENS DATO:</t>
  </si>
  <si>
    <t>Træningsstatus</t>
  </si>
  <si>
    <t>UGESTART</t>
  </si>
  <si>
    <t>TIL OG MED</t>
  </si>
  <si>
    <t>PERIODE</t>
  </si>
  <si>
    <t>TIMER</t>
  </si>
  <si>
    <t>KILOMETER</t>
  </si>
  <si>
    <t>HØJDEMETER</t>
  </si>
  <si>
    <t>VÆGT (KG)</t>
  </si>
  <si>
    <t>GNS. WATT</t>
  </si>
  <si>
    <t>GNS. PULS</t>
  </si>
  <si>
    <t>EGNE NOTATER</t>
  </si>
  <si>
    <r>
      <rPr>
        <b/>
        <sz val="11"/>
        <color rgb="FF243A30"/>
        <rFont val="Work Sans"/>
      </rPr>
      <t>Vægt og FTP:</t>
    </r>
    <r>
      <rPr>
        <sz val="11"/>
        <color rgb="FF243A30"/>
        <rFont val="Work Sans"/>
      </rPr>
      <t xml:space="preserve"> indtast ved ny måling. Seneste værdi videreføres. Puls og watt er valgfrie.</t>
    </r>
  </si>
  <si>
    <r>
      <rPr>
        <b/>
        <sz val="11"/>
        <color rgb="FF243A30"/>
        <rFont val="Work Sans"/>
      </rPr>
      <t>Gns. watt og puls:</t>
    </r>
    <r>
      <rPr>
        <sz val="11"/>
        <color rgb="FF243A30"/>
        <rFont val="Work Sans"/>
      </rPr>
      <t xml:space="preserve"> Brug tidsvægtet gennemsnit for de målte ture; lad feltet være tomt uden måling.</t>
    </r>
  </si>
  <si>
    <t>(Beregninger - Ingen indtastning)</t>
  </si>
  <si>
    <t>PULS / MAKS.</t>
  </si>
  <si>
    <t>GNS. PULSZONE</t>
  </si>
  <si>
    <t>UGENS 
TIMER</t>
  </si>
  <si>
    <t>GNM.
HASTIGHED</t>
  </si>
  <si>
    <r>
      <rPr>
        <b/>
        <sz val="11"/>
        <color rgb="FF243A30"/>
        <rFont val="Work Sans"/>
      </rPr>
      <t>Udfyld de</t>
    </r>
    <r>
      <rPr>
        <sz val="11"/>
        <color rgb="FF243A30"/>
        <rFont val="Work Sans"/>
      </rPr>
      <t xml:space="preserve"> gule felter med f.eks. timer: 4,5 = 4 timer 30 min. Skriv 0 ved en uge uden træning.</t>
    </r>
  </si>
  <si>
    <t>Gns. w/kg</t>
  </si>
  <si>
    <t>Nedre 
timer/uge</t>
  </si>
  <si>
    <t>Øvre 
timer/uge</t>
  </si>
  <si>
    <t xml:space="preserve">  Ugetimer fordeles på perioder i forhold til antal kalenderdage.</t>
  </si>
  <si>
    <t xml:space="preserve">  OBS. Manglende timer før seneste registrering stopper samlet status og akkumuleret faktisk kurve.</t>
  </si>
  <si>
    <t>ANBEFALET TIMER</t>
  </si>
  <si>
    <t>NEDRE</t>
  </si>
  <si>
    <t>ØVRE</t>
  </si>
  <si>
    <t>AKKUMULERET</t>
  </si>
  <si>
    <t>Forudsætninger og beregningsmodel</t>
  </si>
  <si>
    <t>CYKELNERVEN 2027 · W/kg og effekt af ændring af ydeevne (watt) og vægt (kg)</t>
  </si>
  <si>
    <t>Antagelser til brug for estimering</t>
  </si>
  <si>
    <t>Udfyld data</t>
  </si>
  <si>
    <t>Fakta om stigningen op til Alpe d'Huez</t>
  </si>
  <si>
    <t>Referencegruppe - Vælg (Mænd/Kvinder)</t>
  </si>
  <si>
    <t>Mænd</t>
  </si>
  <si>
    <t>Din nuværende watt pr./kg</t>
  </si>
  <si>
    <r>
      <t>Antal hårnålesving: </t>
    </r>
    <r>
      <rPr>
        <b/>
        <sz val="11"/>
        <color rgb="FF253A30"/>
        <rFont val="Work Sans"/>
      </rPr>
      <t>21</t>
    </r>
  </si>
  <si>
    <t>Angiv din nuværende vægt (kg)</t>
  </si>
  <si>
    <r>
      <t>Afgang fra Bourg d'Oisans: </t>
    </r>
    <r>
      <rPr>
        <b/>
        <sz val="11"/>
        <color rgb="FF253A30"/>
        <rFont val="Work Sans"/>
      </rPr>
      <t>717 m</t>
    </r>
  </si>
  <si>
    <t>Angiv din FTP i watt (maks. ydeevne 1 time)</t>
  </si>
  <si>
    <r>
      <t>Ankomst i Alpe d'Huez: </t>
    </r>
    <r>
      <rPr>
        <b/>
        <sz val="11"/>
        <color rgb="FF253A30"/>
        <rFont val="Work Sans"/>
      </rPr>
      <t>1860 m</t>
    </r>
  </si>
  <si>
    <r>
      <t xml:space="preserve">Angiv et evt. mål for </t>
    </r>
    <r>
      <rPr>
        <b/>
        <sz val="11"/>
        <color rgb="FF253A30"/>
        <rFont val="Work Sans"/>
      </rPr>
      <t>watt pr. kg</t>
    </r>
    <r>
      <rPr>
        <sz val="11"/>
        <color rgb="FF253A30"/>
        <rFont val="Work Sans"/>
      </rPr>
      <t xml:space="preserve"> ved afgang i juni</t>
    </r>
  </si>
  <si>
    <r>
      <t>Højdemeter: </t>
    </r>
    <r>
      <rPr>
        <b/>
        <sz val="11"/>
        <color rgb="FF253A30"/>
        <rFont val="Work Sans"/>
      </rPr>
      <t>1120 m</t>
    </r>
  </si>
  <si>
    <t>Scenarievægt ved afgang i juni (kg)</t>
  </si>
  <si>
    <t>Watt pr. kg på stigningen</t>
  </si>
  <si>
    <r>
      <t>Distance: </t>
    </r>
    <r>
      <rPr>
        <b/>
        <sz val="11"/>
        <color rgb="FF253A30"/>
        <rFont val="Work Sans"/>
      </rPr>
      <t>13,8 km</t>
    </r>
  </si>
  <si>
    <t>Mål for FTP (watt) ved afgang til juni</t>
  </si>
  <si>
    <r>
      <t>Gnm. stigning: </t>
    </r>
    <r>
      <rPr>
        <b/>
        <sz val="11"/>
        <color rgb="FF253A30"/>
        <rFont val="Work Sans"/>
      </rPr>
      <t>7,9%</t>
    </r>
  </si>
  <si>
    <t>Din forventet gennemsnitlige (watt) på stigningen</t>
  </si>
  <si>
    <t>Andelen af FTP er en justerbar antagelse.</t>
  </si>
  <si>
    <r>
      <t>Maks. stigning: </t>
    </r>
    <r>
      <rPr>
        <b/>
        <sz val="11"/>
        <color rgb="FF253A30"/>
        <rFont val="Work Sans"/>
      </rPr>
      <t>14%</t>
    </r>
  </si>
  <si>
    <t>Samlet vægt af cykel og udstyr (kg)</t>
  </si>
  <si>
    <t>Scenarier</t>
  </si>
  <si>
    <t>Ændring W</t>
  </si>
  <si>
    <t>Ændring kg</t>
  </si>
  <si>
    <t>Alpe h:mm</t>
  </si>
  <si>
    <t>Vægtscenarier forudsætter, at FTP bevares. De er regneeksempler, ikke anbefalede vægttab.</t>
  </si>
  <si>
    <t>W/kg ved forskellige kombinationer af FTP og vægt</t>
  </si>
  <si>
    <t>Vægt / FTP</t>
  </si>
  <si>
    <r>
      <rPr>
        <b/>
        <sz val="11"/>
        <color rgb="FF253A30"/>
        <rFont val="Work Sans"/>
      </rPr>
      <t>Grøn:</t>
    </r>
    <r>
      <rPr>
        <sz val="11"/>
        <color rgb="FF253A30"/>
        <rFont val="Work Sans"/>
      </rPr>
      <t xml:space="preserve"> Mindst dit W/kg-mål. Orange ramme: din nuværende kombination.</t>
    </r>
  </si>
  <si>
    <t>Referencetabellen bevarer alle otte kategorinavne og alle niveauer fra w/kg. billedet - Se forudsætningsarket</t>
  </si>
  <si>
    <t>Kategoriernes overlappende parenteser bruges ikke som entydige grænser.</t>
  </si>
  <si>
    <r>
      <t xml:space="preserve">Som inspiration og indsigt i kravet til f.eks. at køre </t>
    </r>
    <r>
      <rPr>
        <b/>
        <sz val="13"/>
        <color rgb="FF253A30"/>
        <rFont val="Work Sans Medium"/>
      </rPr>
      <t>Alpe d'Huez</t>
    </r>
    <r>
      <rPr>
        <sz val="13"/>
        <color rgb="FF253A30"/>
        <rFont val="Work Sans Medium"/>
      </rPr>
      <t>, så kan du udfylde og opdatere de lyseblå felter i arket. Se scenarier i Alpe d'Huez arket.</t>
    </r>
  </si>
  <si>
    <t>(Indtast navn)</t>
  </si>
  <si>
    <t>(Indtast dit lokale hold)</t>
  </si>
  <si>
    <r>
      <t xml:space="preserve">Referenceværdier fra 'Training and Racing with a Power Meter'      </t>
    </r>
    <r>
      <rPr>
        <b/>
        <sz val="11"/>
        <color theme="3" tint="0.249977111117893"/>
        <rFont val="Noe Display Semibold"/>
      </rPr>
      <t>af Hunter Allen and Andrew Coggan, PhD</t>
    </r>
  </si>
  <si>
    <r>
      <t>Se i arket '</t>
    </r>
    <r>
      <rPr>
        <b/>
        <sz val="11"/>
        <color rgb="FF253A30"/>
        <rFont val="Work Sans"/>
      </rPr>
      <t>FTP-niveauer</t>
    </r>
    <r>
      <rPr>
        <sz val="11"/>
        <color rgb="FF253A30"/>
        <rFont val="Work Sans"/>
      </rPr>
      <t>'</t>
    </r>
  </si>
  <si>
    <r>
      <t>Se niveauer i arket '</t>
    </r>
    <r>
      <rPr>
        <b/>
        <sz val="11"/>
        <color rgb="FF253A30"/>
        <rFont val="Work Sans"/>
      </rPr>
      <t>FTP-niveauer</t>
    </r>
    <r>
      <rPr>
        <sz val="11"/>
        <color rgb="FF253A30"/>
        <rFont val="Work Sans"/>
      </rPr>
      <t>'</t>
    </r>
  </si>
  <si>
    <t>Målet gælder FTP / kg. (watt pr. kg på stigningen beregnes med den valgte procentvise andel af FTP).</t>
  </si>
  <si>
    <t>MODERATE</t>
  </si>
  <si>
    <t>UNTRAINED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</si>
</sst>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[h]:mm"/>
    <numFmt numFmtId="167" formatCode="\+0.0;\-0.0;0.0"/>
    <numFmt numFmtId="168" formatCode="0.0%"/>
    <numFmt numFmtId="169" formatCode="\+0.00;\-0.00;0.00"/>
  </numFmts>
  <fonts count="41">
    <font>
      <sz val="11"/>
      <name val="Carlito"/>
    </font>
    <font>
      <sz val="11"/>
      <color rgb="FF243A30"/>
      <name val="Arial"/>
      <family val="2"/>
    </font>
    <font>
      <b/>
      <sz val="11"/>
      <color rgb="FFFFFFFF"/>
      <name val="Arial"/>
      <family val="2"/>
    </font>
    <font>
      <b/>
      <sz val="11"/>
      <color rgb="FF243A30"/>
      <name val="Arial"/>
      <family val="2"/>
    </font>
    <font>
      <sz val="11"/>
      <color rgb="FF243A30"/>
      <name val="Work Sans"/>
    </font>
    <font>
      <sz val="11"/>
      <name val="Work Sans"/>
    </font>
    <font>
      <b/>
      <sz val="11"/>
      <color rgb="FF243A30"/>
      <name val="Work Sans"/>
    </font>
    <font>
      <b/>
      <sz val="11"/>
      <color rgb="FFFFFFFF"/>
      <name val="Work Sans"/>
    </font>
    <font>
      <b/>
      <sz val="11"/>
      <color theme="0"/>
      <name val="Work Sans"/>
    </font>
    <font>
      <b/>
      <sz val="24"/>
      <color theme="3" tint="0.249977111117893"/>
      <name val="Noe Display Semibold"/>
    </font>
    <font>
      <sz val="12"/>
      <color rgb="FF243A30"/>
      <name val="Arial"/>
      <family val="2"/>
    </font>
    <font>
      <b/>
      <sz val="12"/>
      <color rgb="FF243A30"/>
      <name val="Work Sans"/>
    </font>
    <font>
      <b/>
      <sz val="24"/>
      <color theme="3" tint="9.9978637043366805E-2"/>
      <name val="Noe Display Semibold"/>
    </font>
    <font>
      <b/>
      <sz val="26"/>
      <color theme="3" tint="9.9978637043366805E-2"/>
      <name val="Noe Display Semibold"/>
    </font>
    <font>
      <sz val="11"/>
      <color theme="0"/>
      <name val="Work Sans"/>
    </font>
    <font>
      <sz val="11"/>
      <color rgb="FF253A30"/>
      <name val="Arial"/>
      <family val="2"/>
    </font>
    <font>
      <sz val="11"/>
      <color rgb="FF253A30"/>
      <name val="Work Sans"/>
    </font>
    <font>
      <b/>
      <sz val="11"/>
      <color rgb="FF253A30"/>
      <name val="Work Sans"/>
    </font>
    <font>
      <b/>
      <sz val="14"/>
      <color theme="3" tint="9.9978637043366805E-2"/>
      <name val="Work Sans"/>
    </font>
    <font>
      <b/>
      <sz val="20"/>
      <color theme="3" tint="0.249977111117893"/>
      <name val="Noe Display Semibold"/>
    </font>
    <font>
      <b/>
      <sz val="11"/>
      <color theme="3" tint="0.249977111117893"/>
      <name val="Noe Display Semibold"/>
    </font>
    <font>
      <b/>
      <sz val="10"/>
      <color rgb="FFFFFFFF"/>
      <name val="Work Sans"/>
    </font>
    <font>
      <b/>
      <sz val="12"/>
      <color rgb="FFFFFFFF"/>
      <name val="Work Sans"/>
    </font>
    <font>
      <sz val="10"/>
      <name val="Work Sans"/>
    </font>
    <font>
      <b/>
      <sz val="10.5"/>
      <color rgb="FF253A30"/>
      <name val="Work Sans"/>
    </font>
    <font>
      <sz val="10"/>
      <color rgb="FF253A30"/>
      <name val="Work Sans"/>
    </font>
    <font>
      <b/>
      <sz val="12"/>
      <color rgb="FF253A30"/>
      <name val="Work Sans"/>
    </font>
    <font>
      <b/>
      <sz val="16"/>
      <color rgb="FF253A30"/>
      <name val="Work Sans"/>
    </font>
    <font>
      <i/>
      <sz val="11"/>
      <color rgb="FF253A30"/>
      <name val="Work Sans"/>
    </font>
    <font>
      <b/>
      <sz val="11"/>
      <color rgb="FF253A30"/>
      <name val="Arial"/>
      <family val="2"/>
    </font>
    <font>
      <b/>
      <i/>
      <sz val="11"/>
      <color theme="5"/>
      <name val="Arial"/>
      <family val="2"/>
    </font>
    <font>
      <b/>
      <sz val="12"/>
      <color theme="0"/>
      <name val="Work Sans"/>
    </font>
    <font>
      <sz val="11"/>
      <color rgb="FF243A30"/>
      <name val="Work Sans Light"/>
    </font>
    <font>
      <i/>
      <sz val="11"/>
      <color rgb="FF243A30"/>
      <name val="Work Sans Light"/>
    </font>
    <font>
      <b/>
      <sz val="11"/>
      <color rgb="FF243A30"/>
      <name val="Work Sans Light"/>
    </font>
    <font>
      <sz val="13"/>
      <color rgb="FF253A30"/>
      <name val="Work Sans Medium"/>
    </font>
    <font>
      <b/>
      <sz val="13"/>
      <color rgb="FF253A30"/>
      <name val="Work Sans Medium"/>
    </font>
    <font>
      <b/>
      <sz val="11"/>
      <color theme="3" tint="9.9978637043366805E-2"/>
      <name val="Work Sans"/>
    </font>
    <font>
      <b/>
      <i/>
      <sz val="11"/>
      <color rgb="FF253A30"/>
      <name val="Work Sans"/>
    </font>
    <font>
      <b/>
      <sz val="16"/>
      <color theme="3" tint="9.9978637043366805E-2"/>
      <name val="Noe Display Semibold"/>
    </font>
    <font>
      <b/>
      <u/>
      <sz val="11"/>
      <color rgb="FF253A3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EF3ED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E762F"/>
      </left>
      <right style="medium">
        <color rgb="FFCE762F"/>
      </right>
      <top style="medium">
        <color rgb="FFCE762F"/>
      </top>
      <bottom style="medium">
        <color rgb="FFCE762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3" fontId="6" fillId="0" borderId="3" xfId="0" applyNumberFormat="1" applyFont="1" applyBorder="1"/>
    <xf numFmtId="0" fontId="4" fillId="0" borderId="4" xfId="0" applyFont="1" applyBorder="1"/>
    <xf numFmtId="3" fontId="6" fillId="0" borderId="5" xfId="0" applyNumberFormat="1" applyFont="1" applyBorder="1"/>
    <xf numFmtId="0" fontId="4" fillId="0" borderId="6" xfId="0" applyFont="1" applyBorder="1"/>
    <xf numFmtId="164" fontId="6" fillId="0" borderId="7" xfId="0" applyNumberFormat="1" applyFont="1" applyBorder="1"/>
    <xf numFmtId="164" fontId="4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6" fillId="0" borderId="6" xfId="0" applyFont="1" applyBorder="1" applyAlignment="1">
      <alignment vertical="center"/>
    </xf>
    <xf numFmtId="14" fontId="4" fillId="0" borderId="9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9" fillId="0" borderId="0" xfId="0" applyFont="1"/>
    <xf numFmtId="0" fontId="8" fillId="5" borderId="0" xfId="0" applyFont="1" applyFill="1" applyAlignment="1">
      <alignment horizontal="center" vertical="center" wrapText="1"/>
    </xf>
    <xf numFmtId="0" fontId="1" fillId="5" borderId="0" xfId="0" applyFont="1" applyFill="1"/>
    <xf numFmtId="0" fontId="7" fillId="5" borderId="0" xfId="0" applyFont="1" applyFill="1" applyAlignment="1">
      <alignment wrapText="1"/>
    </xf>
    <xf numFmtId="0" fontId="6" fillId="0" borderId="2" xfId="0" applyFont="1" applyBorder="1"/>
    <xf numFmtId="0" fontId="6" fillId="0" borderId="4" xfId="0" applyFont="1" applyBorder="1"/>
    <xf numFmtId="0" fontId="6" fillId="0" borderId="6" xfId="0" applyFont="1" applyBorder="1"/>
    <xf numFmtId="0" fontId="7" fillId="5" borderId="0" xfId="0" applyFont="1" applyFill="1" applyAlignment="1">
      <alignment horizontal="right" wrapText="1"/>
    </xf>
    <xf numFmtId="0" fontId="4" fillId="5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wrapText="1"/>
    </xf>
    <xf numFmtId="14" fontId="4" fillId="0" borderId="8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11" fillId="0" borderId="1" xfId="0" applyNumberFormat="1" applyFont="1" applyBorder="1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0" applyNumberFormat="1" applyFont="1"/>
    <xf numFmtId="164" fontId="8" fillId="5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9" borderId="11" xfId="0" applyFont="1" applyFill="1" applyBorder="1" applyAlignment="1">
      <alignment vertical="center" wrapText="1"/>
    </xf>
    <xf numFmtId="0" fontId="7" fillId="9" borderId="13" xfId="0" applyFont="1" applyFill="1" applyBorder="1" applyAlignment="1">
      <alignment horizontal="right" vertical="center" wrapText="1"/>
    </xf>
    <xf numFmtId="0" fontId="7" fillId="9" borderId="12" xfId="0" applyFont="1" applyFill="1" applyBorder="1" applyAlignment="1">
      <alignment horizontal="right" vertical="center" wrapText="1"/>
    </xf>
    <xf numFmtId="0" fontId="16" fillId="4" borderId="2" xfId="0" applyFont="1" applyFill="1" applyBorder="1" applyAlignment="1">
      <alignment vertical="center"/>
    </xf>
    <xf numFmtId="2" fontId="16" fillId="4" borderId="8" xfId="0" applyNumberFormat="1" applyFont="1" applyFill="1" applyBorder="1" applyAlignment="1">
      <alignment horizontal="right" vertical="center"/>
    </xf>
    <xf numFmtId="166" fontId="16" fillId="4" borderId="8" xfId="0" applyNumberFormat="1" applyFont="1" applyFill="1" applyBorder="1" applyAlignment="1">
      <alignment horizontal="right" vertical="center"/>
    </xf>
    <xf numFmtId="167" fontId="16" fillId="4" borderId="3" xfId="0" applyNumberFormat="1" applyFont="1" applyFill="1" applyBorder="1" applyAlignment="1">
      <alignment horizontal="right" vertical="center"/>
    </xf>
    <xf numFmtId="0" fontId="16" fillId="0" borderId="4" xfId="0" applyFont="1" applyBorder="1" applyAlignment="1">
      <alignment vertical="center"/>
    </xf>
    <xf numFmtId="167" fontId="16" fillId="0" borderId="5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vertical="center"/>
    </xf>
    <xf numFmtId="2" fontId="16" fillId="0" borderId="9" xfId="0" applyNumberFormat="1" applyFont="1" applyBorder="1" applyAlignment="1">
      <alignment horizontal="right" vertical="center"/>
    </xf>
    <xf numFmtId="166" fontId="16" fillId="0" borderId="9" xfId="0" applyNumberFormat="1" applyFont="1" applyBorder="1" applyAlignment="1">
      <alignment horizontal="right" vertical="center"/>
    </xf>
    <xf numFmtId="167" fontId="16" fillId="0" borderId="7" xfId="0" applyNumberFormat="1" applyFont="1" applyBorder="1" applyAlignment="1">
      <alignment horizontal="right" vertical="center"/>
    </xf>
    <xf numFmtId="0" fontId="7" fillId="9" borderId="11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top" wrapText="1"/>
    </xf>
    <xf numFmtId="0" fontId="7" fillId="9" borderId="12" xfId="0" applyFont="1" applyFill="1" applyBorder="1" applyAlignment="1">
      <alignment horizontal="center" vertical="top" wrapText="1"/>
    </xf>
    <xf numFmtId="168" fontId="17" fillId="0" borderId="2" xfId="0" applyNumberFormat="1" applyFont="1" applyBorder="1" applyAlignment="1">
      <alignment horizontal="center" vertical="center"/>
    </xf>
    <xf numFmtId="166" fontId="16" fillId="0" borderId="8" xfId="0" applyNumberFormat="1" applyFont="1" applyBorder="1" applyAlignment="1">
      <alignment horizontal="center" vertical="center"/>
    </xf>
    <xf numFmtId="166" fontId="16" fillId="0" borderId="3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166" fontId="16" fillId="0" borderId="5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7" fillId="9" borderId="13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2" fontId="17" fillId="0" borderId="6" xfId="0" applyNumberFormat="1" applyFont="1" applyBorder="1" applyAlignment="1">
      <alignment horizontal="center" vertical="center"/>
    </xf>
    <xf numFmtId="1" fontId="16" fillId="0" borderId="9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5" borderId="0" xfId="0" applyFont="1" applyFill="1" applyAlignment="1">
      <alignment vertical="center" wrapText="1"/>
    </xf>
    <xf numFmtId="0" fontId="21" fillId="5" borderId="0" xfId="0" applyFont="1" applyFill="1" applyAlignment="1">
      <alignment horizontal="right" vertical="center" wrapText="1"/>
    </xf>
    <xf numFmtId="0" fontId="22" fillId="5" borderId="0" xfId="0" applyFont="1" applyFill="1" applyAlignment="1">
      <alignment horizontal="right" vertical="center" wrapText="1"/>
    </xf>
    <xf numFmtId="0" fontId="21" fillId="5" borderId="0" xfId="0" applyFont="1" applyFill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2" fontId="16" fillId="0" borderId="0" xfId="0" applyNumberFormat="1" applyFont="1" applyAlignment="1">
      <alignment vertical="center"/>
    </xf>
    <xf numFmtId="2" fontId="26" fillId="4" borderId="0" xfId="0" applyNumberFormat="1" applyFont="1" applyFill="1" applyAlignment="1">
      <alignment vertical="center"/>
    </xf>
    <xf numFmtId="0" fontId="17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2" fontId="16" fillId="0" borderId="15" xfId="0" applyNumberFormat="1" applyFont="1" applyBorder="1" applyAlignment="1">
      <alignment vertical="center"/>
    </xf>
    <xf numFmtId="2" fontId="26" fillId="4" borderId="15" xfId="0" applyNumberFormat="1" applyFont="1" applyFill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6" fillId="0" borderId="9" xfId="0" applyFont="1" applyBorder="1" applyAlignment="1">
      <alignment vertical="center"/>
    </xf>
    <xf numFmtId="2" fontId="16" fillId="0" borderId="9" xfId="0" applyNumberFormat="1" applyFont="1" applyBorder="1" applyAlignment="1">
      <alignment vertical="center"/>
    </xf>
    <xf numFmtId="2" fontId="26" fillId="4" borderId="9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165" fontId="15" fillId="4" borderId="0" xfId="0" applyNumberFormat="1" applyFont="1" applyFill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4" borderId="0" xfId="0" applyNumberFormat="1" applyFont="1" applyFill="1" applyAlignment="1">
      <alignment vertical="center"/>
    </xf>
    <xf numFmtId="9" fontId="29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" fillId="9" borderId="0" xfId="0" applyFont="1" applyFill="1" applyAlignment="1">
      <alignment vertical="center" wrapText="1"/>
    </xf>
    <xf numFmtId="0" fontId="2" fillId="9" borderId="0" xfId="0" applyFont="1" applyFill="1" applyAlignment="1">
      <alignment horizontal="right" vertical="center" wrapText="1"/>
    </xf>
    <xf numFmtId="166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1" fillId="5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4" fillId="5" borderId="0" xfId="0" applyFont="1" applyFill="1"/>
    <xf numFmtId="0" fontId="14" fillId="0" borderId="0" xfId="0" applyFont="1"/>
    <xf numFmtId="1" fontId="4" fillId="0" borderId="0" xfId="0" applyNumberFormat="1" applyFont="1"/>
    <xf numFmtId="14" fontId="6" fillId="0" borderId="0" xfId="0" applyNumberFormat="1" applyFont="1"/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quotePrefix="1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16" fillId="0" borderId="27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7" fillId="5" borderId="11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horizontal="right" vertical="center" wrapText="1"/>
    </xf>
    <xf numFmtId="0" fontId="7" fillId="5" borderId="12" xfId="0" applyFont="1" applyFill="1" applyBorder="1" applyAlignment="1">
      <alignment horizontal="right" vertical="center" wrapText="1"/>
    </xf>
    <xf numFmtId="2" fontId="16" fillId="4" borderId="8" xfId="0" applyNumberFormat="1" applyFont="1" applyFill="1" applyBorder="1" applyAlignment="1">
      <alignment vertical="center"/>
    </xf>
    <xf numFmtId="169" fontId="16" fillId="4" borderId="8" xfId="0" applyNumberFormat="1" applyFont="1" applyFill="1" applyBorder="1" applyAlignment="1">
      <alignment vertical="center"/>
    </xf>
    <xf numFmtId="2" fontId="17" fillId="4" borderId="8" xfId="0" applyNumberFormat="1" applyFont="1" applyFill="1" applyBorder="1" applyAlignment="1">
      <alignment vertical="center"/>
    </xf>
    <xf numFmtId="166" fontId="17" fillId="4" borderId="3" xfId="0" applyNumberFormat="1" applyFont="1" applyFill="1" applyBorder="1" applyAlignment="1">
      <alignment vertical="center"/>
    </xf>
    <xf numFmtId="169" fontId="16" fillId="0" borderId="0" xfId="0" applyNumberFormat="1" applyFont="1" applyAlignment="1">
      <alignment vertical="center"/>
    </xf>
    <xf numFmtId="2" fontId="17" fillId="0" borderId="0" xfId="0" applyNumberFormat="1" applyFont="1" applyAlignment="1">
      <alignment vertical="center"/>
    </xf>
    <xf numFmtId="166" fontId="17" fillId="4" borderId="5" xfId="0" applyNumberFormat="1" applyFont="1" applyFill="1" applyBorder="1" applyAlignment="1">
      <alignment vertical="center"/>
    </xf>
    <xf numFmtId="0" fontId="28" fillId="0" borderId="6" xfId="0" applyFont="1" applyBorder="1" applyAlignment="1">
      <alignment vertical="center"/>
    </xf>
    <xf numFmtId="2" fontId="28" fillId="0" borderId="9" xfId="0" applyNumberFormat="1" applyFont="1" applyBorder="1" applyAlignment="1">
      <alignment vertical="center"/>
    </xf>
    <xf numFmtId="169" fontId="28" fillId="0" borderId="9" xfId="0" applyNumberFormat="1" applyFont="1" applyBorder="1" applyAlignment="1">
      <alignment vertical="center"/>
    </xf>
    <xf numFmtId="2" fontId="38" fillId="0" borderId="9" xfId="0" applyNumberFormat="1" applyFont="1" applyBorder="1" applyAlignment="1">
      <alignment vertical="center"/>
    </xf>
    <xf numFmtId="166" fontId="38" fillId="4" borderId="7" xfId="0" applyNumberFormat="1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164" fontId="17" fillId="0" borderId="2" xfId="0" applyNumberFormat="1" applyFont="1" applyBorder="1" applyAlignment="1">
      <alignment horizontal="center" vertical="center"/>
    </xf>
    <xf numFmtId="2" fontId="16" fillId="0" borderId="8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164" fontId="17" fillId="0" borderId="4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vertical="center"/>
    </xf>
    <xf numFmtId="2" fontId="16" fillId="0" borderId="29" xfId="0" applyNumberFormat="1" applyFont="1" applyBorder="1" applyAlignment="1">
      <alignment vertical="center"/>
    </xf>
    <xf numFmtId="164" fontId="17" fillId="0" borderId="6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vertical="center"/>
    </xf>
    <xf numFmtId="164" fontId="8" fillId="5" borderId="5" xfId="0" applyNumberFormat="1" applyFont="1" applyFill="1" applyBorder="1" applyAlignment="1">
      <alignment horizontal="center" vertical="center" wrapText="1"/>
    </xf>
    <xf numFmtId="2" fontId="1" fillId="3" borderId="0" xfId="0" applyNumberFormat="1" applyFont="1" applyFill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9" fontId="1" fillId="3" borderId="9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40" fillId="0" borderId="0" xfId="0" applyFont="1" applyAlignment="1">
      <alignment vertical="center"/>
    </xf>
    <xf numFmtId="0" fontId="17" fillId="8" borderId="18" xfId="0" applyFont="1" applyFill="1" applyBorder="1" applyAlignment="1" applyProtection="1">
      <alignment horizontal="right" vertical="center"/>
      <protection locked="0"/>
    </xf>
    <xf numFmtId="2" fontId="17" fillId="8" borderId="22" xfId="0" applyNumberFormat="1" applyFont="1" applyFill="1" applyBorder="1" applyAlignment="1" applyProtection="1">
      <alignment horizontal="right" vertical="center"/>
      <protection locked="0"/>
    </xf>
    <xf numFmtId="1" fontId="17" fillId="8" borderId="22" xfId="0" applyNumberFormat="1" applyFont="1" applyFill="1" applyBorder="1" applyAlignment="1" applyProtection="1">
      <alignment horizontal="right" vertical="center"/>
      <protection locked="0"/>
    </xf>
    <xf numFmtId="9" fontId="17" fillId="8" borderId="22" xfId="0" applyNumberFormat="1" applyFont="1" applyFill="1" applyBorder="1" applyAlignment="1" applyProtection="1">
      <alignment horizontal="right" vertical="center"/>
      <protection locked="0"/>
    </xf>
    <xf numFmtId="164" fontId="17" fillId="8" borderId="28" xfId="0" applyNumberFormat="1" applyFont="1" applyFill="1" applyBorder="1" applyAlignment="1" applyProtection="1">
      <alignment horizontal="right" vertical="center"/>
      <protection locked="0"/>
    </xf>
    <xf numFmtId="2" fontId="26" fillId="4" borderId="10" xfId="0" applyNumberFormat="1" applyFont="1" applyFill="1" applyBorder="1" applyAlignment="1" applyProtection="1">
      <alignment vertical="center"/>
      <protection locked="0"/>
    </xf>
    <xf numFmtId="0" fontId="40" fillId="0" borderId="0" xfId="0" applyFont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166" fontId="16" fillId="0" borderId="0" xfId="0" applyNumberFormat="1" applyFont="1" applyAlignment="1">
      <alignment horizontal="right" vertical="center"/>
    </xf>
    <xf numFmtId="16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10" fillId="2" borderId="31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164" fontId="10" fillId="2" borderId="36" xfId="0" applyNumberFormat="1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8" fillId="5" borderId="38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164" fontId="10" fillId="2" borderId="35" xfId="0" applyNumberFormat="1" applyFont="1" applyFill="1" applyBorder="1" applyAlignment="1">
      <alignment horizontal="center"/>
    </xf>
    <xf numFmtId="3" fontId="10" fillId="2" borderId="36" xfId="0" applyNumberFormat="1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64" fontId="10" fillId="2" borderId="30" xfId="0" applyNumberFormat="1" applyFont="1" applyFill="1" applyBorder="1" applyAlignment="1">
      <alignment horizontal="center"/>
    </xf>
    <xf numFmtId="3" fontId="10" fillId="2" borderId="31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5" borderId="2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164" fontId="8" fillId="5" borderId="0" xfId="0" applyNumberFormat="1" applyFont="1" applyFill="1" applyAlignment="1">
      <alignment horizontal="center" vertical="center" wrapText="1"/>
    </xf>
    <xf numFmtId="0" fontId="31" fillId="5" borderId="0" xfId="0" applyFont="1" applyFill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wrapText="1"/>
    </xf>
    <xf numFmtId="0" fontId="27" fillId="10" borderId="0" xfId="0" applyFont="1" applyFill="1" applyAlignment="1">
      <alignment horizontal="center" vertical="center" textRotation="180"/>
    </xf>
    <xf numFmtId="0" fontId="27" fillId="10" borderId="16" xfId="0" applyFont="1" applyFill="1" applyBorder="1" applyAlignment="1">
      <alignment horizontal="center" vertical="center" textRotation="180"/>
    </xf>
    <xf numFmtId="0" fontId="27" fillId="10" borderId="17" xfId="0" applyFont="1" applyFill="1" applyBorder="1" applyAlignment="1">
      <alignment horizontal="center" vertical="center" textRotation="180"/>
    </xf>
    <xf numFmtId="0" fontId="27" fillId="10" borderId="15" xfId="0" applyFont="1" applyFill="1" applyBorder="1" applyAlignment="1">
      <alignment horizontal="center" vertical="center" textRotation="180"/>
    </xf>
    <xf numFmtId="0" fontId="27" fillId="10" borderId="44" xfId="0" applyFont="1" applyFill="1" applyBorder="1" applyAlignment="1">
      <alignment horizontal="center" vertical="center" textRotation="180"/>
    </xf>
    <xf numFmtId="0" fontId="27" fillId="10" borderId="9" xfId="0" applyFont="1" applyFill="1" applyBorder="1" applyAlignment="1">
      <alignment horizontal="center" vertical="center" textRotation="180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4">
    <dxf>
      <fill>
        <patternFill patternType="solid">
          <bgColor rgb="FFDCECD5"/>
        </patternFill>
      </fill>
    </dxf>
    <dxf>
      <fill>
        <patternFill patternType="solid">
          <bgColor rgb="FFDCECD5"/>
        </patternFill>
      </fill>
    </dxf>
    <dxf>
      <fill>
        <patternFill patternType="solid">
          <bgColor rgb="FFE3EAF3"/>
        </patternFill>
      </fill>
    </dxf>
    <dxf>
      <fill>
        <patternFill patternType="solid">
          <bgColor rgb="FFFCE8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Hele forløbet · akkumulerede timer</a:t>
            </a:r>
          </a:p>
        </c:rich>
      </c:tx>
      <c:layout>
        <c:manualLayout>
          <c:xMode val="edge"/>
          <c:yMode val="edge"/>
          <c:x val="0.198593905206542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22948182693582E-2"/>
          <c:y val="0.15973664683494815"/>
          <c:w val="0.88932014417936167"/>
          <c:h val="0.63927549067324108"/>
        </c:manualLayout>
      </c:layout>
      <c:lineChart>
        <c:grouping val="standard"/>
        <c:varyColors val="0"/>
        <c:ser>
          <c:idx val="0"/>
          <c:order val="0"/>
          <c:tx>
            <c:v>Akk. min.</c:v>
          </c:tx>
          <c:spPr>
            <a:ln w="25400">
              <a:solidFill>
                <a:schemeClr val="tx2">
                  <a:lumMod val="25000"/>
                  <a:lumOff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Beregninger!$J$12:$J$51</c:f>
              <c:numCache>
                <c:formatCode>0</c:formatCode>
                <c:ptCount val="4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  <c:pt idx="14">
                  <c:v>45</c:v>
                </c:pt>
                <c:pt idx="15">
                  <c:v>48</c:v>
                </c:pt>
                <c:pt idx="16">
                  <c:v>51.857142857142854</c:v>
                </c:pt>
                <c:pt idx="17">
                  <c:v>56.857142857142854</c:v>
                </c:pt>
                <c:pt idx="18">
                  <c:v>61.857142857142854</c:v>
                </c:pt>
                <c:pt idx="19">
                  <c:v>66.857142857142861</c:v>
                </c:pt>
                <c:pt idx="20">
                  <c:v>71.857142857142861</c:v>
                </c:pt>
                <c:pt idx="21">
                  <c:v>76.857142857142861</c:v>
                </c:pt>
                <c:pt idx="22">
                  <c:v>81.857142857142861</c:v>
                </c:pt>
                <c:pt idx="23">
                  <c:v>86.857142857142861</c:v>
                </c:pt>
                <c:pt idx="24">
                  <c:v>91.857142857142861</c:v>
                </c:pt>
                <c:pt idx="25">
                  <c:v>96.857142857142861</c:v>
                </c:pt>
                <c:pt idx="26">
                  <c:v>101.85714285714286</c:v>
                </c:pt>
                <c:pt idx="27">
                  <c:v>106.85714285714286</c:v>
                </c:pt>
                <c:pt idx="28">
                  <c:v>111.85714285714286</c:v>
                </c:pt>
                <c:pt idx="29">
                  <c:v>118</c:v>
                </c:pt>
                <c:pt idx="30">
                  <c:v>125</c:v>
                </c:pt>
                <c:pt idx="31">
                  <c:v>132</c:v>
                </c:pt>
                <c:pt idx="32">
                  <c:v>139</c:v>
                </c:pt>
                <c:pt idx="33">
                  <c:v>146</c:v>
                </c:pt>
                <c:pt idx="34">
                  <c:v>153</c:v>
                </c:pt>
                <c:pt idx="35">
                  <c:v>160</c:v>
                </c:pt>
                <c:pt idx="36">
                  <c:v>167</c:v>
                </c:pt>
                <c:pt idx="37">
                  <c:v>174</c:v>
                </c:pt>
                <c:pt idx="38">
                  <c:v>181</c:v>
                </c:pt>
                <c:pt idx="39">
                  <c:v>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89-144C-B926-BBA3DC71321F}"/>
            </c:ext>
          </c:extLst>
        </c:ser>
        <c:ser>
          <c:idx val="1"/>
          <c:order val="1"/>
          <c:tx>
            <c:v>Akk. maks.</c:v>
          </c:tx>
          <c:spPr>
            <a:ln w="25400">
              <a:solidFill>
                <a:schemeClr val="tx2">
                  <a:lumMod val="75000"/>
                  <a:lumOff val="2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Beregninger!$K$12:$K$51</c:f>
              <c:numCache>
                <c:formatCode>0</c:formatCode>
                <c:ptCount val="40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85.857142857142861</c:v>
                </c:pt>
                <c:pt idx="17">
                  <c:v>92.857142857142861</c:v>
                </c:pt>
                <c:pt idx="18">
                  <c:v>99.857142857142861</c:v>
                </c:pt>
                <c:pt idx="19">
                  <c:v>106.85714285714286</c:v>
                </c:pt>
                <c:pt idx="20">
                  <c:v>113.85714285714286</c:v>
                </c:pt>
                <c:pt idx="21">
                  <c:v>120.85714285714286</c:v>
                </c:pt>
                <c:pt idx="22">
                  <c:v>127.85714285714286</c:v>
                </c:pt>
                <c:pt idx="23">
                  <c:v>134.85714285714286</c:v>
                </c:pt>
                <c:pt idx="24">
                  <c:v>141.85714285714286</c:v>
                </c:pt>
                <c:pt idx="25">
                  <c:v>148.85714285714286</c:v>
                </c:pt>
                <c:pt idx="26">
                  <c:v>155.85714285714286</c:v>
                </c:pt>
                <c:pt idx="27">
                  <c:v>162.85714285714286</c:v>
                </c:pt>
                <c:pt idx="28">
                  <c:v>169.85714285714286</c:v>
                </c:pt>
                <c:pt idx="29">
                  <c:v>178</c:v>
                </c:pt>
                <c:pt idx="30">
                  <c:v>187</c:v>
                </c:pt>
                <c:pt idx="31">
                  <c:v>196</c:v>
                </c:pt>
                <c:pt idx="32">
                  <c:v>205</c:v>
                </c:pt>
                <c:pt idx="33">
                  <c:v>214</c:v>
                </c:pt>
                <c:pt idx="34">
                  <c:v>223</c:v>
                </c:pt>
                <c:pt idx="35">
                  <c:v>232</c:v>
                </c:pt>
                <c:pt idx="36">
                  <c:v>241</c:v>
                </c:pt>
                <c:pt idx="37">
                  <c:v>250</c:v>
                </c:pt>
                <c:pt idx="38">
                  <c:v>259</c:v>
                </c:pt>
                <c:pt idx="39">
                  <c:v>261.57142857142856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89-144C-B926-BBA3DC71321F}"/>
            </c:ext>
          </c:extLst>
        </c:ser>
        <c:ser>
          <c:idx val="2"/>
          <c:order val="2"/>
          <c:tx>
            <c:v>Akk. udført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Beregninger!$L$12:$L$51</c:f>
              <c:numCache>
                <c:formatCode>0.0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89-144C-B926-BBA3DC71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/d/yy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4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Ugentlige timer og anbefalet interval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579892143707123E-2"/>
          <c:y val="0.14934231247409863"/>
          <c:w val="0.85797934020305344"/>
          <c:h val="0.6388039784500622"/>
        </c:manualLayout>
      </c:layout>
      <c:barChart>
        <c:barDir val="col"/>
        <c:grouping val="clustered"/>
        <c:varyColors val="0"/>
        <c:ser>
          <c:idx val="2"/>
          <c:order val="2"/>
          <c:tx>
            <c:v>Timer</c:v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Beregninger!$AP$12:$AP$51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D-F142-B451-1027F7C33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0"/>
        <c:axId val="48650112"/>
        <c:axId val="48672768"/>
      </c:barChart>
      <c:lineChart>
        <c:grouping val="standard"/>
        <c:varyColors val="0"/>
        <c:ser>
          <c:idx val="0"/>
          <c:order val="0"/>
          <c:tx>
            <c:v>Min. timer</c:v>
          </c:tx>
          <c:spPr>
            <a:ln w="25400">
              <a:solidFill>
                <a:schemeClr val="tx2">
                  <a:lumMod val="50000"/>
                  <a:lumOff val="5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Beregninger!$G$12:$G$51</c:f>
              <c:numCache>
                <c:formatCode>0</c:formatCode>
                <c:ptCount val="4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3.8571428571428572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6.1428571428571432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7D-F142-B451-1027F7C334BE}"/>
            </c:ext>
          </c:extLst>
        </c:ser>
        <c:ser>
          <c:idx val="1"/>
          <c:order val="1"/>
          <c:tx>
            <c:v>Maks. timer</c:v>
          </c:tx>
          <c:spPr>
            <a:ln w="22225" cmpd="sng">
              <a:solidFill>
                <a:schemeClr val="tx2">
                  <a:lumMod val="75000"/>
                  <a:lumOff val="2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Beregninger!$H$12:$H$51</c:f>
              <c:numCache>
                <c:formatCode>0</c:formatCode>
                <c:ptCount val="4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5.8571428571428568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8.1428571428571423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2.5714285714285716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7D-F142-B451-1027F7C33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4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Højdemeter pr. uge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537188122569019E-2"/>
          <c:y val="0.1582033300524934"/>
          <c:w val="0.86560573000664076"/>
          <c:h val="0.68439550524934389"/>
        </c:manualLayout>
      </c:layout>
      <c:lineChart>
        <c:grouping val="standard"/>
        <c:varyColors val="0"/>
        <c:ser>
          <c:idx val="0"/>
          <c:order val="0"/>
          <c:tx>
            <c:v>Hm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Beregninger!$N$12:$N$51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CB-D141-9B95-D762C70D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low"/>
        <c:spPr>
          <a:ln/>
        </c:spPr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MarkSkip val="1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BASE (Sep-Dec) · Akkumulerede timer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Nedre anbefaling</c:v>
          </c:tx>
          <c:spPr>
            <a:ln w="19050">
              <a:solidFill>
                <a:srgbClr val="8AB660"/>
              </a:solidFill>
              <a:prstDash val="dash"/>
            </a:ln>
          </c:spPr>
          <c:marker>
            <c:symbol val="none"/>
          </c:marker>
          <c:cat>
            <c:strRef>
              <c:f>Beregninger!$X$12:$X$28</c:f>
              <c:strCache>
                <c:ptCount val="17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</c:strCache>
            </c:strRef>
          </c:cat>
          <c:val>
            <c:numRef>
              <c:f>Beregninger!$Y$12:$Y$28</c:f>
              <c:numCache>
                <c:formatCode>General</c:formatCode>
                <c:ptCount val="17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  <c:pt idx="14">
                  <c:v>45</c:v>
                </c:pt>
                <c:pt idx="15">
                  <c:v>48</c:v>
                </c:pt>
                <c:pt idx="16">
                  <c:v>49.714285714285715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CA-5F4F-8A55-5E989BE48A6F}"/>
            </c:ext>
          </c:extLst>
        </c:ser>
        <c:ser>
          <c:idx val="1"/>
          <c:order val="1"/>
          <c:tx>
            <c:v>Øvre anbefaling</c:v>
          </c:tx>
          <c:spPr>
            <a:ln w="19050">
              <a:solidFill>
                <a:srgbClr val="28563D"/>
              </a:solidFill>
              <a:prstDash val="dash"/>
            </a:ln>
          </c:spPr>
          <c:marker>
            <c:symbol val="none"/>
          </c:marker>
          <c:cat>
            <c:strRef>
              <c:f>Beregninger!$X$12:$X$28</c:f>
              <c:strCache>
                <c:ptCount val="17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</c:strCache>
            </c:strRef>
          </c:cat>
          <c:val>
            <c:numRef>
              <c:f>Beregninger!$Z$12:$Z$28</c:f>
              <c:numCache>
                <c:formatCode>General</c:formatCode>
                <c:ptCount val="17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82.857142857142861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CA-5F4F-8A55-5E989BE48A6F}"/>
            </c:ext>
          </c:extLst>
        </c:ser>
        <c:ser>
          <c:idx val="2"/>
          <c:order val="2"/>
          <c:tx>
            <c:v>Udført</c:v>
          </c:tx>
          <c:spPr>
            <a:ln w="28575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Beregninger!$X$12:$X$28</c:f>
              <c:strCache>
                <c:ptCount val="17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</c:strCache>
            </c:strRef>
          </c:cat>
          <c:val>
            <c:numRef>
              <c:f>Beregninger!$AA$12:$AA$28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CA-5F4F-8A55-5E989BE48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OPBYGNING (Jan-Marts) · Akkumulerede timer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Nedre anbefaling</c:v>
          </c:tx>
          <c:spPr>
            <a:ln w="19050">
              <a:solidFill>
                <a:srgbClr val="8AB660"/>
              </a:solidFill>
              <a:prstDash val="dash"/>
            </a:ln>
          </c:spPr>
          <c:marker>
            <c:symbol val="none"/>
          </c:marker>
          <c:cat>
            <c:strRef>
              <c:f>Beregninger!$AB$12:$AB$25</c:f>
              <c:strCache>
                <c:ptCount val="14"/>
                <c:pt idx="0">
                  <c:v>28/12</c:v>
                </c:pt>
                <c:pt idx="1">
                  <c:v>04/01</c:v>
                </c:pt>
                <c:pt idx="2">
                  <c:v>11/01</c:v>
                </c:pt>
                <c:pt idx="3">
                  <c:v>18/01</c:v>
                </c:pt>
                <c:pt idx="4">
                  <c:v>25/01</c:v>
                </c:pt>
                <c:pt idx="5">
                  <c:v>01/02</c:v>
                </c:pt>
                <c:pt idx="6">
                  <c:v>08/02</c:v>
                </c:pt>
                <c:pt idx="7">
                  <c:v>15/02</c:v>
                </c:pt>
                <c:pt idx="8">
                  <c:v>22/02</c:v>
                </c:pt>
                <c:pt idx="9">
                  <c:v>01/03</c:v>
                </c:pt>
                <c:pt idx="10">
                  <c:v>08/03</c:v>
                </c:pt>
                <c:pt idx="11">
                  <c:v>15/03</c:v>
                </c:pt>
                <c:pt idx="12">
                  <c:v>22/03</c:v>
                </c:pt>
                <c:pt idx="13">
                  <c:v>29/03</c:v>
                </c:pt>
              </c:strCache>
            </c:strRef>
          </c:cat>
          <c:val>
            <c:numRef>
              <c:f>Beregninger!$AC$12:$AC$25</c:f>
              <c:numCache>
                <c:formatCode>General</c:formatCode>
                <c:ptCount val="14"/>
                <c:pt idx="0">
                  <c:v>2.1428571428571428</c:v>
                </c:pt>
                <c:pt idx="1">
                  <c:v>7.1428571428571432</c:v>
                </c:pt>
                <c:pt idx="2">
                  <c:v>12.142857142857142</c:v>
                </c:pt>
                <c:pt idx="3">
                  <c:v>17.142857142857142</c:v>
                </c:pt>
                <c:pt idx="4">
                  <c:v>22.142857142857142</c:v>
                </c:pt>
                <c:pt idx="5">
                  <c:v>27.142857142857142</c:v>
                </c:pt>
                <c:pt idx="6">
                  <c:v>32.142857142857146</c:v>
                </c:pt>
                <c:pt idx="7">
                  <c:v>37.142857142857146</c:v>
                </c:pt>
                <c:pt idx="8">
                  <c:v>42.142857142857146</c:v>
                </c:pt>
                <c:pt idx="9">
                  <c:v>47.142857142857146</c:v>
                </c:pt>
                <c:pt idx="10">
                  <c:v>52.142857142857146</c:v>
                </c:pt>
                <c:pt idx="11">
                  <c:v>57.142857142857146</c:v>
                </c:pt>
                <c:pt idx="12">
                  <c:v>62.142857142857146</c:v>
                </c:pt>
                <c:pt idx="13">
                  <c:v>64.285714285714292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C-244B-81BA-DFC53BF77586}"/>
            </c:ext>
          </c:extLst>
        </c:ser>
        <c:ser>
          <c:idx val="1"/>
          <c:order val="1"/>
          <c:tx>
            <c:v>Øvre anbefaling</c:v>
          </c:tx>
          <c:spPr>
            <a:ln w="19050">
              <a:solidFill>
                <a:srgbClr val="28563D"/>
              </a:solidFill>
              <a:prstDash val="dash"/>
            </a:ln>
          </c:spPr>
          <c:marker>
            <c:symbol val="none"/>
          </c:marker>
          <c:cat>
            <c:strRef>
              <c:f>Beregninger!$AB$12:$AB$25</c:f>
              <c:strCache>
                <c:ptCount val="14"/>
                <c:pt idx="0">
                  <c:v>28/12</c:v>
                </c:pt>
                <c:pt idx="1">
                  <c:v>04/01</c:v>
                </c:pt>
                <c:pt idx="2">
                  <c:v>11/01</c:v>
                </c:pt>
                <c:pt idx="3">
                  <c:v>18/01</c:v>
                </c:pt>
                <c:pt idx="4">
                  <c:v>25/01</c:v>
                </c:pt>
                <c:pt idx="5">
                  <c:v>01/02</c:v>
                </c:pt>
                <c:pt idx="6">
                  <c:v>08/02</c:v>
                </c:pt>
                <c:pt idx="7">
                  <c:v>15/02</c:v>
                </c:pt>
                <c:pt idx="8">
                  <c:v>22/02</c:v>
                </c:pt>
                <c:pt idx="9">
                  <c:v>01/03</c:v>
                </c:pt>
                <c:pt idx="10">
                  <c:v>08/03</c:v>
                </c:pt>
                <c:pt idx="11">
                  <c:v>15/03</c:v>
                </c:pt>
                <c:pt idx="12">
                  <c:v>22/03</c:v>
                </c:pt>
                <c:pt idx="13">
                  <c:v>29/03</c:v>
                </c:pt>
              </c:strCache>
            </c:strRef>
          </c:cat>
          <c:val>
            <c:numRef>
              <c:f>Beregninger!$AD$12:$AD$25</c:f>
              <c:numCache>
                <c:formatCode>General</c:formatCode>
                <c:ptCount val="14"/>
                <c:pt idx="0">
                  <c:v>3</c:v>
                </c:pt>
                <c:pt idx="1">
                  <c:v>10</c:v>
                </c:pt>
                <c:pt idx="2">
                  <c:v>17</c:v>
                </c:pt>
                <c:pt idx="3">
                  <c:v>24</c:v>
                </c:pt>
                <c:pt idx="4">
                  <c:v>31</c:v>
                </c:pt>
                <c:pt idx="5">
                  <c:v>38</c:v>
                </c:pt>
                <c:pt idx="6">
                  <c:v>45</c:v>
                </c:pt>
                <c:pt idx="7">
                  <c:v>52</c:v>
                </c:pt>
                <c:pt idx="8">
                  <c:v>59</c:v>
                </c:pt>
                <c:pt idx="9">
                  <c:v>66</c:v>
                </c:pt>
                <c:pt idx="10">
                  <c:v>73</c:v>
                </c:pt>
                <c:pt idx="11">
                  <c:v>80</c:v>
                </c:pt>
                <c:pt idx="12">
                  <c:v>87</c:v>
                </c:pt>
                <c:pt idx="1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C-244B-81BA-DFC53BF77586}"/>
            </c:ext>
          </c:extLst>
        </c:ser>
        <c:ser>
          <c:idx val="2"/>
          <c:order val="2"/>
          <c:tx>
            <c:v>Udført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Beregninger!$AB$12:$AB$25</c:f>
              <c:strCache>
                <c:ptCount val="14"/>
                <c:pt idx="0">
                  <c:v>28/12</c:v>
                </c:pt>
                <c:pt idx="1">
                  <c:v>04/01</c:v>
                </c:pt>
                <c:pt idx="2">
                  <c:v>11/01</c:v>
                </c:pt>
                <c:pt idx="3">
                  <c:v>18/01</c:v>
                </c:pt>
                <c:pt idx="4">
                  <c:v>25/01</c:v>
                </c:pt>
                <c:pt idx="5">
                  <c:v>01/02</c:v>
                </c:pt>
                <c:pt idx="6">
                  <c:v>08/02</c:v>
                </c:pt>
                <c:pt idx="7">
                  <c:v>15/02</c:v>
                </c:pt>
                <c:pt idx="8">
                  <c:v>22/02</c:v>
                </c:pt>
                <c:pt idx="9">
                  <c:v>01/03</c:v>
                </c:pt>
                <c:pt idx="10">
                  <c:v>08/03</c:v>
                </c:pt>
                <c:pt idx="11">
                  <c:v>15/03</c:v>
                </c:pt>
                <c:pt idx="12">
                  <c:v>22/03</c:v>
                </c:pt>
                <c:pt idx="13">
                  <c:v>29/03</c:v>
                </c:pt>
              </c:strCache>
            </c:strRef>
          </c:cat>
          <c:val>
            <c:numRef>
              <c:f>Beregninger!$AE$12:$AE$25</c:f>
              <c:numCache>
                <c:formatCode>General</c:formatCode>
                <c:ptCount val="1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3C-244B-81BA-DFC53BF7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FORBEREDELSE  (April</a:t>
            </a:r>
            <a:r>
              <a:rPr lang="da-DK" sz="1400" b="1" i="0" baseline="0">
                <a:latin typeface="Noe Display Semibold" pitchFamily="2" charset="77"/>
                <a:ea typeface="Arial"/>
                <a:cs typeface="Arial"/>
              </a:rPr>
              <a:t>-Juni)</a:t>
            </a:r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· Akk.</a:t>
            </a:r>
            <a:r>
              <a:rPr lang="da-DK" sz="1400" b="1" i="0" baseline="0">
                <a:latin typeface="Noe Display Semibold" pitchFamily="2" charset="77"/>
                <a:ea typeface="Arial"/>
                <a:cs typeface="Arial"/>
              </a:rPr>
              <a:t> </a:t>
            </a:r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 timer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Nedre anbefaling</c:v>
          </c:tx>
          <c:spPr>
            <a:ln w="19050">
              <a:solidFill>
                <a:srgbClr val="8AB660"/>
              </a:solidFill>
              <a:prstDash val="dash"/>
            </a:ln>
          </c:spPr>
          <c:marker>
            <c:symbol val="none"/>
          </c:marker>
          <c:cat>
            <c:strRef>
              <c:f>Beregninger!$AF$12:$AF$22</c:f>
              <c:strCache>
                <c:ptCount val="11"/>
                <c:pt idx="0">
                  <c:v>29/03</c:v>
                </c:pt>
                <c:pt idx="1">
                  <c:v>05/04</c:v>
                </c:pt>
                <c:pt idx="2">
                  <c:v>12/04</c:v>
                </c:pt>
                <c:pt idx="3">
                  <c:v>19/04</c:v>
                </c:pt>
                <c:pt idx="4">
                  <c:v>26/04</c:v>
                </c:pt>
                <c:pt idx="5">
                  <c:v>03/05</c:v>
                </c:pt>
                <c:pt idx="6">
                  <c:v>10/05</c:v>
                </c:pt>
                <c:pt idx="7">
                  <c:v>17/05</c:v>
                </c:pt>
                <c:pt idx="8">
                  <c:v>24/05</c:v>
                </c:pt>
                <c:pt idx="9">
                  <c:v>31/05</c:v>
                </c:pt>
                <c:pt idx="10">
                  <c:v>07/06</c:v>
                </c:pt>
              </c:strCache>
            </c:strRef>
          </c:cat>
          <c:val>
            <c:numRef>
              <c:f>Beregninger!$AG$12:$AG$22</c:f>
              <c:numCache>
                <c:formatCode>General</c:formatCode>
                <c:ptCount val="11"/>
                <c:pt idx="0">
                  <c:v>4</c:v>
                </c:pt>
                <c:pt idx="1">
                  <c:v>11</c:v>
                </c:pt>
                <c:pt idx="2">
                  <c:v>18</c:v>
                </c:pt>
                <c:pt idx="3">
                  <c:v>25</c:v>
                </c:pt>
                <c:pt idx="4">
                  <c:v>32</c:v>
                </c:pt>
                <c:pt idx="5">
                  <c:v>39</c:v>
                </c:pt>
                <c:pt idx="6">
                  <c:v>46</c:v>
                </c:pt>
                <c:pt idx="7">
                  <c:v>53</c:v>
                </c:pt>
                <c:pt idx="8">
                  <c:v>60</c:v>
                </c:pt>
                <c:pt idx="9">
                  <c:v>67</c:v>
                </c:pt>
                <c:pt idx="10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9E-2D47-AD37-B80BE52FBFB9}"/>
            </c:ext>
          </c:extLst>
        </c:ser>
        <c:ser>
          <c:idx val="1"/>
          <c:order val="1"/>
          <c:tx>
            <c:v>Øvre anbefaling</c:v>
          </c:tx>
          <c:spPr>
            <a:ln w="19050">
              <a:solidFill>
                <a:srgbClr val="28563D"/>
              </a:solidFill>
              <a:prstDash val="dash"/>
            </a:ln>
          </c:spPr>
          <c:marker>
            <c:symbol val="none"/>
          </c:marker>
          <c:cat>
            <c:strRef>
              <c:f>Beregninger!$AF$12:$AF$22</c:f>
              <c:strCache>
                <c:ptCount val="11"/>
                <c:pt idx="0">
                  <c:v>29/03</c:v>
                </c:pt>
                <c:pt idx="1">
                  <c:v>05/04</c:v>
                </c:pt>
                <c:pt idx="2">
                  <c:v>12/04</c:v>
                </c:pt>
                <c:pt idx="3">
                  <c:v>19/04</c:v>
                </c:pt>
                <c:pt idx="4">
                  <c:v>26/04</c:v>
                </c:pt>
                <c:pt idx="5">
                  <c:v>03/05</c:v>
                </c:pt>
                <c:pt idx="6">
                  <c:v>10/05</c:v>
                </c:pt>
                <c:pt idx="7">
                  <c:v>17/05</c:v>
                </c:pt>
                <c:pt idx="8">
                  <c:v>24/05</c:v>
                </c:pt>
                <c:pt idx="9">
                  <c:v>31/05</c:v>
                </c:pt>
                <c:pt idx="10">
                  <c:v>07/06</c:v>
                </c:pt>
              </c:strCache>
            </c:strRef>
          </c:cat>
          <c:val>
            <c:numRef>
              <c:f>Beregninger!$AH$12:$AH$22</c:f>
              <c:numCache>
                <c:formatCode>General</c:formatCode>
                <c:ptCount val="11"/>
                <c:pt idx="0">
                  <c:v>5.1428571428571432</c:v>
                </c:pt>
                <c:pt idx="1">
                  <c:v>14.142857142857142</c:v>
                </c:pt>
                <c:pt idx="2">
                  <c:v>23.142857142857142</c:v>
                </c:pt>
                <c:pt idx="3">
                  <c:v>32.142857142857146</c:v>
                </c:pt>
                <c:pt idx="4">
                  <c:v>41.142857142857146</c:v>
                </c:pt>
                <c:pt idx="5">
                  <c:v>50.142857142857146</c:v>
                </c:pt>
                <c:pt idx="6">
                  <c:v>59.142857142857146</c:v>
                </c:pt>
                <c:pt idx="7">
                  <c:v>68.142857142857139</c:v>
                </c:pt>
                <c:pt idx="8">
                  <c:v>77.142857142857139</c:v>
                </c:pt>
                <c:pt idx="9">
                  <c:v>86.142857142857139</c:v>
                </c:pt>
                <c:pt idx="10">
                  <c:v>88.714285714285708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9E-2D47-AD37-B80BE52FBFB9}"/>
            </c:ext>
          </c:extLst>
        </c:ser>
        <c:ser>
          <c:idx val="2"/>
          <c:order val="2"/>
          <c:tx>
            <c:v>Udført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Beregninger!$AF$12:$AF$22</c:f>
              <c:strCache>
                <c:ptCount val="11"/>
                <c:pt idx="0">
                  <c:v>29/03</c:v>
                </c:pt>
                <c:pt idx="1">
                  <c:v>05/04</c:v>
                </c:pt>
                <c:pt idx="2">
                  <c:v>12/04</c:v>
                </c:pt>
                <c:pt idx="3">
                  <c:v>19/04</c:v>
                </c:pt>
                <c:pt idx="4">
                  <c:v>26/04</c:v>
                </c:pt>
                <c:pt idx="5">
                  <c:v>03/05</c:v>
                </c:pt>
                <c:pt idx="6">
                  <c:v>10/05</c:v>
                </c:pt>
                <c:pt idx="7">
                  <c:v>17/05</c:v>
                </c:pt>
                <c:pt idx="8">
                  <c:v>24/05</c:v>
                </c:pt>
                <c:pt idx="9">
                  <c:v>31/05</c:v>
                </c:pt>
                <c:pt idx="10">
                  <c:v>07/06</c:v>
                </c:pt>
              </c:strCache>
            </c:strRef>
          </c:cat>
          <c:val>
            <c:numRef>
              <c:f>Beregninger!$AI$12:$AI$22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9E-2D47-AD37-B80BE52FB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Ugentlige timer og anbefalet interval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v>Timer</c:v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Beregninger!$AP$12:$AP$51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7F-854F-878D-886575515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0"/>
        <c:axId val="48650112"/>
        <c:axId val="48672768"/>
      </c:barChart>
      <c:lineChart>
        <c:grouping val="standard"/>
        <c:varyColors val="0"/>
        <c:ser>
          <c:idx val="0"/>
          <c:order val="0"/>
          <c:tx>
            <c:v>Min. timer</c:v>
          </c:tx>
          <c:spPr>
            <a:ln w="25400">
              <a:solidFill>
                <a:schemeClr val="tx2">
                  <a:lumMod val="50000"/>
                  <a:lumOff val="5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Beregninger!$G$12:$G$51</c:f>
              <c:numCache>
                <c:formatCode>0</c:formatCode>
                <c:ptCount val="4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3.8571428571428572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6.1428571428571432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7F-854F-878D-886575515B16}"/>
            </c:ext>
          </c:extLst>
        </c:ser>
        <c:ser>
          <c:idx val="1"/>
          <c:order val="1"/>
          <c:tx>
            <c:v>Maks. timer</c:v>
          </c:tx>
          <c:spPr>
            <a:ln w="22225" cmpd="sng">
              <a:solidFill>
                <a:schemeClr val="tx2">
                  <a:lumMod val="75000"/>
                  <a:lumOff val="2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Beregninger!$H$12:$H$51</c:f>
              <c:numCache>
                <c:formatCode>0</c:formatCode>
                <c:ptCount val="4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5.8571428571428568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8.1428571428571423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2.5714285714285716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7F-854F-878D-886575515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Hele forløbet · akkumulerede timer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Akk. min.</c:v>
          </c:tx>
          <c:spPr>
            <a:ln w="25400">
              <a:solidFill>
                <a:srgbClr val="8AB660"/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Beregninger!$J$12:$J$51</c:f>
              <c:numCache>
                <c:formatCode>0</c:formatCode>
                <c:ptCount val="4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  <c:pt idx="14">
                  <c:v>45</c:v>
                </c:pt>
                <c:pt idx="15">
                  <c:v>48</c:v>
                </c:pt>
                <c:pt idx="16">
                  <c:v>51.857142857142854</c:v>
                </c:pt>
                <c:pt idx="17">
                  <c:v>56.857142857142854</c:v>
                </c:pt>
                <c:pt idx="18">
                  <c:v>61.857142857142854</c:v>
                </c:pt>
                <c:pt idx="19">
                  <c:v>66.857142857142861</c:v>
                </c:pt>
                <c:pt idx="20">
                  <c:v>71.857142857142861</c:v>
                </c:pt>
                <c:pt idx="21">
                  <c:v>76.857142857142861</c:v>
                </c:pt>
                <c:pt idx="22">
                  <c:v>81.857142857142861</c:v>
                </c:pt>
                <c:pt idx="23">
                  <c:v>86.857142857142861</c:v>
                </c:pt>
                <c:pt idx="24">
                  <c:v>91.857142857142861</c:v>
                </c:pt>
                <c:pt idx="25">
                  <c:v>96.857142857142861</c:v>
                </c:pt>
                <c:pt idx="26">
                  <c:v>101.85714285714286</c:v>
                </c:pt>
                <c:pt idx="27">
                  <c:v>106.85714285714286</c:v>
                </c:pt>
                <c:pt idx="28">
                  <c:v>111.85714285714286</c:v>
                </c:pt>
                <c:pt idx="29">
                  <c:v>118</c:v>
                </c:pt>
                <c:pt idx="30">
                  <c:v>125</c:v>
                </c:pt>
                <c:pt idx="31">
                  <c:v>132</c:v>
                </c:pt>
                <c:pt idx="32">
                  <c:v>139</c:v>
                </c:pt>
                <c:pt idx="33">
                  <c:v>146</c:v>
                </c:pt>
                <c:pt idx="34">
                  <c:v>153</c:v>
                </c:pt>
                <c:pt idx="35">
                  <c:v>160</c:v>
                </c:pt>
                <c:pt idx="36">
                  <c:v>167</c:v>
                </c:pt>
                <c:pt idx="37">
                  <c:v>174</c:v>
                </c:pt>
                <c:pt idx="38">
                  <c:v>181</c:v>
                </c:pt>
                <c:pt idx="39">
                  <c:v>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57-B740-8740-7046EBF70D63}"/>
            </c:ext>
          </c:extLst>
        </c:ser>
        <c:ser>
          <c:idx val="1"/>
          <c:order val="1"/>
          <c:tx>
            <c:v>Akk. maks.</c:v>
          </c:tx>
          <c:spPr>
            <a:ln w="25400">
              <a:solidFill>
                <a:srgbClr val="28563D"/>
              </a:solidFill>
              <a:prstDash val="dash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Beregninger!$K$12:$K$51</c:f>
              <c:numCache>
                <c:formatCode>0</c:formatCode>
                <c:ptCount val="40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85.857142857142861</c:v>
                </c:pt>
                <c:pt idx="17">
                  <c:v>92.857142857142861</c:v>
                </c:pt>
                <c:pt idx="18">
                  <c:v>99.857142857142861</c:v>
                </c:pt>
                <c:pt idx="19">
                  <c:v>106.85714285714286</c:v>
                </c:pt>
                <c:pt idx="20">
                  <c:v>113.85714285714286</c:v>
                </c:pt>
                <c:pt idx="21">
                  <c:v>120.85714285714286</c:v>
                </c:pt>
                <c:pt idx="22">
                  <c:v>127.85714285714286</c:v>
                </c:pt>
                <c:pt idx="23">
                  <c:v>134.85714285714286</c:v>
                </c:pt>
                <c:pt idx="24">
                  <c:v>141.85714285714286</c:v>
                </c:pt>
                <c:pt idx="25">
                  <c:v>148.85714285714286</c:v>
                </c:pt>
                <c:pt idx="26">
                  <c:v>155.85714285714286</c:v>
                </c:pt>
                <c:pt idx="27">
                  <c:v>162.85714285714286</c:v>
                </c:pt>
                <c:pt idx="28">
                  <c:v>169.85714285714286</c:v>
                </c:pt>
                <c:pt idx="29">
                  <c:v>178</c:v>
                </c:pt>
                <c:pt idx="30">
                  <c:v>187</c:v>
                </c:pt>
                <c:pt idx="31">
                  <c:v>196</c:v>
                </c:pt>
                <c:pt idx="32">
                  <c:v>205</c:v>
                </c:pt>
                <c:pt idx="33">
                  <c:v>214</c:v>
                </c:pt>
                <c:pt idx="34">
                  <c:v>223</c:v>
                </c:pt>
                <c:pt idx="35">
                  <c:v>232</c:v>
                </c:pt>
                <c:pt idx="36">
                  <c:v>241</c:v>
                </c:pt>
                <c:pt idx="37">
                  <c:v>250</c:v>
                </c:pt>
                <c:pt idx="38">
                  <c:v>259</c:v>
                </c:pt>
                <c:pt idx="39">
                  <c:v>261.57142857142856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57-B740-8740-7046EBF70D63}"/>
            </c:ext>
          </c:extLst>
        </c:ser>
        <c:ser>
          <c:idx val="2"/>
          <c:order val="2"/>
          <c:tx>
            <c:v>Akk. udført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Beregninger!$L$12:$L$51</c:f>
              <c:numCache>
                <c:formatCode>0.0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57-B740-8740-7046EBF70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tickMarkSkip val="1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At val="1"/>
        <c:crossBetween val="between"/>
      </c:valAx>
    </c:plotArea>
    <c:legend>
      <c:legendPos val="b"/>
      <c:overlay val="0"/>
      <c:txPr>
        <a:bodyPr anchorCtr="1"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da-DK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Kilometer pr. 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Km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Beregninger!$M$12:$M$51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99-A941-ADEB-EC4BA5A2F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Højdemeter pr. 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Hm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Beregninger!$N$12:$N$51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F3-C142-B0E2-0A9288133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Gennemsnitswatt pr. 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Gns. watt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Beregninger!$AK$12:$AK$51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DE-4D4A-9FC8-945DDC253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Vægt · seneste måling (kg)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Vægt kg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Beregninger!$AL$12:$AL$51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13-BA44-BF91-62289F34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FTP / kg · seneste målinger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FTP/kg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Beregninger!$AM$12:$AM$51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0B-CC47-B51F-1381B454E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c:style val="2"/>
  <c:chart>
    <c:title>
      <c:tx>
        <c:rich>
          <a:bodyPr/>
          <a:lstStyle/>
          <a:p>
            <a:r>
              <a:rPr lang="da-DK" sz="1400" b="1" i="0">
                <a:latin typeface="Noe Display Semibold" pitchFamily="2" charset="77"/>
                <a:ea typeface="Arial"/>
                <a:cs typeface="Arial"/>
              </a:rPr>
              <a:t>Gns. puls / maks. puls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Puls / maks.</c:v>
          </c:tx>
          <c:spPr>
            <a:ln w="19050">
              <a:solidFill>
                <a:srgbClr val="D48332"/>
              </a:solidFill>
              <a:prstDash val="solid"/>
            </a:ln>
          </c:spPr>
          <c:marker>
            <c:symbol val="none"/>
          </c:marker>
          <c:cat>
            <c:strRef>
              <c:f>Beregninger!$A$12:$A$51</c:f>
              <c:strCache>
                <c:ptCount val="40"/>
                <c:pt idx="0">
                  <c:v>07/09</c:v>
                </c:pt>
                <c:pt idx="1">
                  <c:v>14/09</c:v>
                </c:pt>
                <c:pt idx="2">
                  <c:v>21/09</c:v>
                </c:pt>
                <c:pt idx="3">
                  <c:v>28/09</c:v>
                </c:pt>
                <c:pt idx="4">
                  <c:v>05/10</c:v>
                </c:pt>
                <c:pt idx="5">
                  <c:v>12/10</c:v>
                </c:pt>
                <c:pt idx="6">
                  <c:v>19/10</c:v>
                </c:pt>
                <c:pt idx="7">
                  <c:v>26/10</c:v>
                </c:pt>
                <c:pt idx="8">
                  <c:v>02/11</c:v>
                </c:pt>
                <c:pt idx="9">
                  <c:v>09/11</c:v>
                </c:pt>
                <c:pt idx="10">
                  <c:v>16/11</c:v>
                </c:pt>
                <c:pt idx="11">
                  <c:v>23/11</c:v>
                </c:pt>
                <c:pt idx="12">
                  <c:v>30/11</c:v>
                </c:pt>
                <c:pt idx="13">
                  <c:v>07/12</c:v>
                </c:pt>
                <c:pt idx="14">
                  <c:v>14/12</c:v>
                </c:pt>
                <c:pt idx="15">
                  <c:v>21/12</c:v>
                </c:pt>
                <c:pt idx="16">
                  <c:v>28/12</c:v>
                </c:pt>
                <c:pt idx="17">
                  <c:v>04/01</c:v>
                </c:pt>
                <c:pt idx="18">
                  <c:v>11/01</c:v>
                </c:pt>
                <c:pt idx="19">
                  <c:v>18/01</c:v>
                </c:pt>
                <c:pt idx="20">
                  <c:v>25/01</c:v>
                </c:pt>
                <c:pt idx="21">
                  <c:v>01/02</c:v>
                </c:pt>
                <c:pt idx="22">
                  <c:v>08/02</c:v>
                </c:pt>
                <c:pt idx="23">
                  <c:v>15/02</c:v>
                </c:pt>
                <c:pt idx="24">
                  <c:v>22/02</c:v>
                </c:pt>
                <c:pt idx="25">
                  <c:v>01/03</c:v>
                </c:pt>
                <c:pt idx="26">
                  <c:v>08/03</c:v>
                </c:pt>
                <c:pt idx="27">
                  <c:v>15/03</c:v>
                </c:pt>
                <c:pt idx="28">
                  <c:v>22/03</c:v>
                </c:pt>
                <c:pt idx="29">
                  <c:v>29/03</c:v>
                </c:pt>
                <c:pt idx="30">
                  <c:v>05/04</c:v>
                </c:pt>
                <c:pt idx="31">
                  <c:v>12/04</c:v>
                </c:pt>
                <c:pt idx="32">
                  <c:v>19/04</c:v>
                </c:pt>
                <c:pt idx="33">
                  <c:v>26/04</c:v>
                </c:pt>
                <c:pt idx="34">
                  <c:v>03/05</c:v>
                </c:pt>
                <c:pt idx="35">
                  <c:v>10/05</c:v>
                </c:pt>
                <c:pt idx="36">
                  <c:v>17/05</c:v>
                </c:pt>
                <c:pt idx="37">
                  <c:v>24/05</c:v>
                </c:pt>
                <c:pt idx="38">
                  <c:v>31/05</c:v>
                </c:pt>
                <c:pt idx="39">
                  <c:v>07/06</c:v>
                </c:pt>
              </c:strCache>
            </c:strRef>
          </c:cat>
          <c:val>
            <c:numRef>
              <c:f>Beregninger!$AO$12:$AO$51</c:f>
              <c:numCache>
                <c:formatCode>General</c:formatCode>
                <c:ptCount val="4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54-CD47-A0A3-CAC14B5F5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tickLblSkip val="2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da-DK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da-DK" b="1" i="0">
                <a:solidFill>
                  <a:schemeClr val="bg1"/>
                </a:solidFill>
                <a:latin typeface="Noe Display Semibold" pitchFamily="2" charset="77"/>
              </a:rPr>
              <a:t>Din modelkurv: Tid ved højere FTP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Nuværende vægt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'Forudsætninger og beregninger'!$W$17:$W$25</c:f>
              <c:strCache>
                <c:ptCount val="9"/>
                <c:pt idx="0">
                  <c:v>00%</c:v>
                </c:pt>
                <c:pt idx="1">
                  <c:v>03%</c:v>
                </c:pt>
                <c:pt idx="2">
                  <c:v>05%</c:v>
                </c:pt>
                <c:pt idx="3">
                  <c:v>08%</c:v>
                </c:pt>
                <c:pt idx="4">
                  <c:v>10%</c:v>
                </c:pt>
                <c:pt idx="5">
                  <c:v>13%</c:v>
                </c:pt>
                <c:pt idx="6">
                  <c:v>15%</c:v>
                </c:pt>
                <c:pt idx="7">
                  <c:v>18%</c:v>
                </c:pt>
                <c:pt idx="8">
                  <c:v>20%</c:v>
                </c:pt>
              </c:strCache>
            </c:strRef>
          </c:cat>
          <c:val>
            <c:numRef>
              <c:f>'Scenario med tid på Alpe d''Huez'!$B$16:$B$24</c:f>
              <c:numCache>
                <c:formatCode>[h]:mm</c:formatCode>
                <c:ptCount val="9"/>
                <c:pt idx="0">
                  <c:v>6.25E-2</c:v>
                </c:pt>
                <c:pt idx="1">
                  <c:v>6.1111111111111109E-2</c:v>
                </c:pt>
                <c:pt idx="2">
                  <c:v>5.9722222222222225E-2</c:v>
                </c:pt>
                <c:pt idx="3">
                  <c:v>5.8333333333333334E-2</c:v>
                </c:pt>
                <c:pt idx="4">
                  <c:v>5.6944444444444443E-2</c:v>
                </c:pt>
                <c:pt idx="5">
                  <c:v>5.5555555555555552E-2</c:v>
                </c:pt>
                <c:pt idx="6">
                  <c:v>5.486111111111111E-2</c:v>
                </c:pt>
                <c:pt idx="7">
                  <c:v>5.347222222222222E-2</c:v>
                </c:pt>
                <c:pt idx="8">
                  <c:v>5.2083333333333336E-2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3A-204C-B057-E4675DBD8DC8}"/>
            </c:ext>
          </c:extLst>
        </c:ser>
        <c:ser>
          <c:idx val="1"/>
          <c:order val="1"/>
          <c:tx>
            <c:v>Scenarievægt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'Forudsætninger og beregninger'!$W$17:$W$25</c:f>
              <c:strCache>
                <c:ptCount val="9"/>
                <c:pt idx="0">
                  <c:v>00%</c:v>
                </c:pt>
                <c:pt idx="1">
                  <c:v>03%</c:v>
                </c:pt>
                <c:pt idx="2">
                  <c:v>05%</c:v>
                </c:pt>
                <c:pt idx="3">
                  <c:v>08%</c:v>
                </c:pt>
                <c:pt idx="4">
                  <c:v>10%</c:v>
                </c:pt>
                <c:pt idx="5">
                  <c:v>13%</c:v>
                </c:pt>
                <c:pt idx="6">
                  <c:v>15%</c:v>
                </c:pt>
                <c:pt idx="7">
                  <c:v>18%</c:v>
                </c:pt>
                <c:pt idx="8">
                  <c:v>20%</c:v>
                </c:pt>
              </c:strCache>
            </c:strRef>
          </c:cat>
          <c:val>
            <c:numRef>
              <c:f>'Scenario med tid på Alpe d''Huez'!$C$16:$C$24</c:f>
              <c:numCache>
                <c:formatCode>[h]:mm</c:formatCode>
                <c:ptCount val="9"/>
                <c:pt idx="0">
                  <c:v>5.9722222222222225E-2</c:v>
                </c:pt>
                <c:pt idx="1">
                  <c:v>5.8333333333333334E-2</c:v>
                </c:pt>
                <c:pt idx="2">
                  <c:v>5.6944444444444443E-2</c:v>
                </c:pt>
                <c:pt idx="3">
                  <c:v>5.5555555555555552E-2</c:v>
                </c:pt>
                <c:pt idx="4">
                  <c:v>5.486111111111111E-2</c:v>
                </c:pt>
                <c:pt idx="5">
                  <c:v>5.347222222222222E-2</c:v>
                </c:pt>
                <c:pt idx="6">
                  <c:v>5.2083333333333336E-2</c:v>
                </c:pt>
                <c:pt idx="7">
                  <c:v>5.1388888888888887E-2</c:v>
                </c:pt>
                <c:pt idx="8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3A-204C-B057-E4675DBD8DC8}"/>
            </c:ext>
          </c:extLst>
        </c:ser>
        <c:ser>
          <c:idx val="2"/>
          <c:order val="2"/>
          <c:tx>
            <c:v>Nuværende tid</c:v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'Forudsætninger og beregninger'!$W$17:$W$25</c:f>
              <c:strCache>
                <c:ptCount val="9"/>
                <c:pt idx="0">
                  <c:v>00%</c:v>
                </c:pt>
                <c:pt idx="1">
                  <c:v>03%</c:v>
                </c:pt>
                <c:pt idx="2">
                  <c:v>05%</c:v>
                </c:pt>
                <c:pt idx="3">
                  <c:v>08%</c:v>
                </c:pt>
                <c:pt idx="4">
                  <c:v>10%</c:v>
                </c:pt>
                <c:pt idx="5">
                  <c:v>13%</c:v>
                </c:pt>
                <c:pt idx="6">
                  <c:v>15%</c:v>
                </c:pt>
                <c:pt idx="7">
                  <c:v>18%</c:v>
                </c:pt>
                <c:pt idx="8">
                  <c:v>20%</c:v>
                </c:pt>
              </c:strCache>
            </c:strRef>
          </c:cat>
          <c:val>
            <c:numRef>
              <c:f>'Scenario med tid på Alpe d''Huez'!$D$16:$D$24</c:f>
              <c:numCache>
                <c:formatCode>[h]:mm</c:formatCode>
                <c:ptCount val="9"/>
                <c:pt idx="0">
                  <c:v>6.25E-2</c:v>
                </c:pt>
                <c:pt idx="1">
                  <c:v>6.25E-2</c:v>
                </c:pt>
                <c:pt idx="2">
                  <c:v>6.25E-2</c:v>
                </c:pt>
                <c:pt idx="3">
                  <c:v>6.25E-2</c:v>
                </c:pt>
                <c:pt idx="4">
                  <c:v>6.25E-2</c:v>
                </c:pt>
                <c:pt idx="5">
                  <c:v>6.25E-2</c:v>
                </c:pt>
                <c:pt idx="6">
                  <c:v>6.25E-2</c:v>
                </c:pt>
                <c:pt idx="7">
                  <c:v>6.25E-2</c:v>
                </c:pt>
                <c:pt idx="8">
                  <c:v>6.25E-2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3A-204C-B057-E4675DBD8DC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[h]:mm" sourceLinked="0"/>
        <c:majorTickMark val="none"/>
        <c:minorTickMark val="none"/>
        <c:tickLblPos val="nextTo"/>
        <c:crossAx val="48650112"/>
        <c:crosses val="autoZero"/>
        <c:crossBetween val="between"/>
      </c:valAx>
      <c:spPr>
        <a:solidFill>
          <a:schemeClr val="tx2">
            <a:lumMod val="75000"/>
            <a:lumOff val="25000"/>
          </a:schemeClr>
        </a:solidFill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1"/>
  </c:chart>
  <c:spPr>
    <a:solidFill>
      <a:schemeClr val="tx2">
        <a:lumMod val="75000"/>
        <a:lumOff val="2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da-DK" b="1" i="0">
                <a:solidFill>
                  <a:schemeClr val="bg1"/>
                </a:solidFill>
                <a:latin typeface="Noe Display Semibold" pitchFamily="2" charset="77"/>
              </a:rPr>
              <a:t>Effekt af stigende w/kg på hele opkørslen og beregnet tid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1.7628205128205128E-2"/>
          <c:y val="0.10114864864864864"/>
          <c:w val="0.96474358974358976"/>
          <c:h val="0.79480119883663192"/>
        </c:manualLayout>
      </c:layout>
      <c:lineChart>
        <c:grouping val="standard"/>
        <c:varyColors val="0"/>
        <c:ser>
          <c:idx val="0"/>
          <c:order val="0"/>
          <c:tx>
            <c:v>Tid h:mm</c:v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solidFill>
                <a:schemeClr val="tx2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'Scenario med tid på Alpe d''Huez'!$A$31:$A$47</c:f>
              <c:numCache>
                <c:formatCode>0.00</c:formatCode>
                <c:ptCount val="17"/>
                <c:pt idx="0">
                  <c:v>1.5</c:v>
                </c:pt>
                <c:pt idx="1">
                  <c:v>1.75</c:v>
                </c:pt>
                <c:pt idx="2">
                  <c:v>2</c:v>
                </c:pt>
                <c:pt idx="3">
                  <c:v>2.25</c:v>
                </c:pt>
                <c:pt idx="4">
                  <c:v>2.5</c:v>
                </c:pt>
                <c:pt idx="5">
                  <c:v>2.75</c:v>
                </c:pt>
                <c:pt idx="6">
                  <c:v>3</c:v>
                </c:pt>
                <c:pt idx="7">
                  <c:v>3.25</c:v>
                </c:pt>
                <c:pt idx="8">
                  <c:v>3.5</c:v>
                </c:pt>
                <c:pt idx="9">
                  <c:v>3.75</c:v>
                </c:pt>
                <c:pt idx="10">
                  <c:v>4</c:v>
                </c:pt>
                <c:pt idx="11">
                  <c:v>4.25</c:v>
                </c:pt>
                <c:pt idx="12">
                  <c:v>4.5</c:v>
                </c:pt>
                <c:pt idx="13">
                  <c:v>4.75</c:v>
                </c:pt>
                <c:pt idx="14">
                  <c:v>5</c:v>
                </c:pt>
                <c:pt idx="15">
                  <c:v>5.25</c:v>
                </c:pt>
                <c:pt idx="16">
                  <c:v>5.5</c:v>
                </c:pt>
              </c:numCache>
            </c:numRef>
          </c:cat>
          <c:val>
            <c:numRef>
              <c:f>'Scenario med tid på Alpe d''Huez'!$D$31:$D$47</c:f>
              <c:numCache>
                <c:formatCode>[h]:mm</c:formatCode>
                <c:ptCount val="17"/>
                <c:pt idx="0">
                  <c:v>0.10347222222222222</c:v>
                </c:pt>
                <c:pt idx="1">
                  <c:v>8.8888888888888892E-2</c:v>
                </c:pt>
                <c:pt idx="2">
                  <c:v>7.7777777777777779E-2</c:v>
                </c:pt>
                <c:pt idx="3">
                  <c:v>6.9444444444444448E-2</c:v>
                </c:pt>
                <c:pt idx="4">
                  <c:v>6.25E-2</c:v>
                </c:pt>
                <c:pt idx="5">
                  <c:v>5.6944444444444443E-2</c:v>
                </c:pt>
                <c:pt idx="6">
                  <c:v>5.2083333333333336E-2</c:v>
                </c:pt>
                <c:pt idx="7">
                  <c:v>4.8611111111111112E-2</c:v>
                </c:pt>
                <c:pt idx="8">
                  <c:v>4.5138888888888888E-2</c:v>
                </c:pt>
                <c:pt idx="9">
                  <c:v>4.2361111111111113E-2</c:v>
                </c:pt>
                <c:pt idx="10">
                  <c:v>3.9583333333333331E-2</c:v>
                </c:pt>
                <c:pt idx="11">
                  <c:v>3.7499999999999999E-2</c:v>
                </c:pt>
                <c:pt idx="12">
                  <c:v>3.5416666666666666E-2</c:v>
                </c:pt>
                <c:pt idx="13">
                  <c:v>3.4027777777777775E-2</c:v>
                </c:pt>
                <c:pt idx="14">
                  <c:v>3.2638888888888891E-2</c:v>
                </c:pt>
                <c:pt idx="15">
                  <c:v>3.125E-2</c:v>
                </c:pt>
                <c:pt idx="16">
                  <c:v>2.9861111111111113E-2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0B-5A44-B1CA-33C9AEA376A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sz="1050"/>
                  <a:t>watt pr. kg niveauer og beregnet</a:t>
                </a:r>
                <a:r>
                  <a:rPr lang="da-DK" sz="1050" baseline="0"/>
                  <a:t> implicit tid på stigningen</a:t>
                </a:r>
                <a:endParaRPr lang="da-DK" sz="1050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1"/>
        <c:axPos val="l"/>
        <c:numFmt formatCode="[h]:mm" sourceLinked="0"/>
        <c:majorTickMark val="none"/>
        <c:minorTickMark val="none"/>
        <c:tickLblPos val="nextTo"/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chemeClr val="tx2">
        <a:lumMod val="75000"/>
        <a:lumOff val="25000"/>
      </a:schemeClr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1</xdr:row>
      <xdr:rowOff>469900</xdr:rowOff>
    </xdr:from>
    <xdr:to>
      <xdr:col>13</xdr:col>
      <xdr:colOff>205752</xdr:colOff>
      <xdr:row>11</xdr:row>
      <xdr:rowOff>114300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4FD33D80-FA4D-D043-A4EA-951624CDB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393700</xdr:colOff>
      <xdr:row>1</xdr:row>
      <xdr:rowOff>469901</xdr:rowOff>
    </xdr:from>
    <xdr:to>
      <xdr:col>9</xdr:col>
      <xdr:colOff>279400</xdr:colOff>
      <xdr:row>11</xdr:row>
      <xdr:rowOff>101601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59D5D610-E946-3E4A-BC76-5C5278630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279401</xdr:colOff>
      <xdr:row>1</xdr:row>
      <xdr:rowOff>469901</xdr:rowOff>
    </xdr:from>
    <xdr:to>
      <xdr:col>17</xdr:col>
      <xdr:colOff>12701</xdr:colOff>
      <xdr:row>11</xdr:row>
      <xdr:rowOff>127001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B05A3907-A227-6147-947A-59419ABBB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207810</xdr:colOff>
      <xdr:row>14</xdr:row>
      <xdr:rowOff>0</xdr:rowOff>
    </xdr:from>
    <xdr:to>
      <xdr:col>4</xdr:col>
      <xdr:colOff>100862</xdr:colOff>
      <xdr:row>29</xdr:row>
      <xdr:rowOff>1013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189986</xdr:colOff>
      <xdr:row>14</xdr:row>
      <xdr:rowOff>0</xdr:rowOff>
    </xdr:from>
    <xdr:to>
      <xdr:col>7</xdr:col>
      <xdr:colOff>1678337</xdr:colOff>
      <xdr:row>29</xdr:row>
      <xdr:rowOff>1013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1745178</xdr:colOff>
      <xdr:row>14</xdr:row>
      <xdr:rowOff>3726</xdr:rowOff>
    </xdr:from>
    <xdr:to>
      <xdr:col>12</xdr:col>
      <xdr:colOff>811973</xdr:colOff>
      <xdr:row>28</xdr:row>
      <xdr:rowOff>278508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207810</xdr:colOff>
      <xdr:row>30</xdr:row>
      <xdr:rowOff>0</xdr:rowOff>
    </xdr:from>
    <xdr:to>
      <xdr:col>6</xdr:col>
      <xdr:colOff>252372</xdr:colOff>
      <xdr:row>46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308074</xdr:colOff>
      <xdr:row>30</xdr:row>
      <xdr:rowOff>0</xdr:rowOff>
    </xdr:from>
    <xdr:to>
      <xdr:col>12</xdr:col>
      <xdr:colOff>809389</xdr:colOff>
      <xdr:row>46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207811</xdr:colOff>
      <xdr:row>47</xdr:row>
      <xdr:rowOff>6185</xdr:rowOff>
    </xdr:from>
    <xdr:to>
      <xdr:col>6</xdr:col>
      <xdr:colOff>238049</xdr:colOff>
      <xdr:row>62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313642</xdr:colOff>
      <xdr:row>47</xdr:row>
      <xdr:rowOff>6185</xdr:rowOff>
    </xdr:from>
    <xdr:to>
      <xdr:col>12</xdr:col>
      <xdr:colOff>803613</xdr:colOff>
      <xdr:row>62</xdr:row>
      <xdr:rowOff>0</xdr:rowOff>
    </xdr:to>
    <xdr:graphicFrame macro="">
      <xdr:nvGraphicFramePr>
        <xdr:cNvPr id="8" name="Chart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228600</xdr:colOff>
      <xdr:row>62</xdr:row>
      <xdr:rowOff>76200</xdr:rowOff>
    </xdr:from>
    <xdr:to>
      <xdr:col>6</xdr:col>
      <xdr:colOff>228600</xdr:colOff>
      <xdr:row>77</xdr:row>
      <xdr:rowOff>76200</xdr:rowOff>
    </xdr:to>
    <xdr:graphicFrame macro="">
      <xdr:nvGraphicFramePr>
        <xdr:cNvPr id="9" name="Chart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319695</xdr:colOff>
      <xdr:row>62</xdr:row>
      <xdr:rowOff>76200</xdr:rowOff>
    </xdr:from>
    <xdr:to>
      <xdr:col>12</xdr:col>
      <xdr:colOff>805745</xdr:colOff>
      <xdr:row>77</xdr:row>
      <xdr:rowOff>76200</xdr:rowOff>
    </xdr:to>
    <xdr:graphicFrame macro="">
      <xdr:nvGraphicFramePr>
        <xdr:cNvPr id="10" name="Chart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215900</xdr:colOff>
      <xdr:row>77</xdr:row>
      <xdr:rowOff>177800</xdr:rowOff>
    </xdr:from>
    <xdr:to>
      <xdr:col>6</xdr:col>
      <xdr:colOff>215900</xdr:colOff>
      <xdr:row>92</xdr:row>
      <xdr:rowOff>177800</xdr:rowOff>
    </xdr:to>
    <xdr:graphicFrame macro="">
      <xdr:nvGraphicFramePr>
        <xdr:cNvPr id="11" name="Chart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335374</xdr:colOff>
      <xdr:row>77</xdr:row>
      <xdr:rowOff>177800</xdr:rowOff>
    </xdr:from>
    <xdr:to>
      <xdr:col>12</xdr:col>
      <xdr:colOff>805745</xdr:colOff>
      <xdr:row>92</xdr:row>
      <xdr:rowOff>177800</xdr:rowOff>
    </xdr:to>
    <xdr:graphicFrame macro="">
      <xdr:nvGraphicFramePr>
        <xdr:cNvPr id="12" name="Chart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127000</xdr:colOff>
      <xdr:row>15</xdr:row>
      <xdr:rowOff>0</xdr:rowOff>
    </xdr:from>
    <xdr:ext cx="6388100" cy="8572500"/>
    <xdr:pic>
      <xdr:nvPicPr>
        <xdr:cNvPr id="2" name="21dde637-e0d8-45d9-b28a-0111afd88449">
          <a:extLst>
            <a:ext uri="{FF2B5EF4-FFF2-40B4-BE49-F238E27FC236}">
              <a16:creationId xmlns:a16="http://schemas.microsoft.com/office/drawing/2014/main" id="{66445A82-565A-0044-9C28-EB2B9CA167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1"/>
        <a:stretch>
          <a:fillRect/>
        </a:stretch>
      </xdr:blipFill>
      <xdr:spPr>
        <a:xfrm>
          <a:off x="11023600" y="4724400"/>
          <a:ext cx="6388100" cy="857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14</xdr:row>
      <xdr:rowOff>0</xdr:rowOff>
    </xdr:from>
    <xdr:to>
      <xdr:col>13</xdr:col>
      <xdr:colOff>152400</xdr:colOff>
      <xdr:row>26</xdr:row>
      <xdr:rowOff>215900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3FEDDB65-D1D2-DC46-87A0-184E39457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88900</xdr:colOff>
      <xdr:row>29</xdr:row>
      <xdr:rowOff>0</xdr:rowOff>
    </xdr:from>
    <xdr:to>
      <xdr:col>13</xdr:col>
      <xdr:colOff>88900</xdr:colOff>
      <xdr:row>47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4869D1FE-CFAC-7740-BC70-E114D08C46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249977111117893"/>
    <pageSetUpPr fitToPage="1"/>
  </sheetPr>
  <dimension ref="A1:AP111"/>
  <sheetViews>
    <sheetView showGridLines="0" showRowColHeaders="0" tabSelected="1" zoomScale="125" zoomScaleNormal="50" workbookViewId="0">
      <pane xSplit="3" ySplit="14" topLeftCell="D18" activePane="bottomRight" state="frozen"/>
      <selection pane="topRight"/>
      <selection pane="bottomLeft"/>
      <selection pane="bottomRight" activeCell="B4" sqref="B4:C4"/>
    </sheetView>
  </sheetViews>
  <sheetFormatPr defaultColWidth="8.83203125" defaultRowHeight="14"/>
  <cols>
    <col min="1" max="2" width="18.6640625" customWidth="1"/>
    <col min="3" max="3" width="20.83203125" customWidth="1"/>
    <col min="4" max="5" width="13" customWidth="1"/>
    <col min="6" max="6" width="14.33203125" customWidth="1"/>
    <col min="7" max="10" width="13" style="31" customWidth="1"/>
    <col min="11" max="11" width="25" style="31" customWidth="1"/>
    <col min="12" max="12" width="11.83203125" style="31" customWidth="1"/>
    <col min="13" max="14" width="13" style="31" customWidth="1"/>
    <col min="15" max="15" width="15.1640625" style="31" customWidth="1"/>
    <col min="16" max="16" width="18.83203125" style="31" customWidth="1"/>
    <col min="17" max="17" width="13.1640625" style="139" customWidth="1"/>
    <col min="18" max="18" width="16.6640625" style="31" customWidth="1"/>
    <col min="19" max="22" width="9.33203125" customWidth="1"/>
    <col min="23" max="42" width="13" customWidth="1"/>
  </cols>
  <sheetData>
    <row r="1" spans="1:42" ht="8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137"/>
      <c r="M1" s="137"/>
      <c r="N1" s="137"/>
      <c r="O1" s="137"/>
      <c r="P1" s="137"/>
      <c r="Q1" s="62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2.5">
      <c r="A2" s="234" t="s">
        <v>69</v>
      </c>
      <c r="B2" s="234"/>
      <c r="C2" s="234"/>
      <c r="D2" s="234"/>
      <c r="E2" s="234"/>
      <c r="F2" s="234"/>
      <c r="G2" s="234"/>
      <c r="H2" s="234"/>
      <c r="I2" s="234"/>
      <c r="J2" s="1"/>
      <c r="K2" s="1"/>
      <c r="L2" s="3"/>
      <c r="M2" s="3"/>
      <c r="N2" s="3"/>
      <c r="O2" s="3"/>
      <c r="P2" s="3"/>
      <c r="Q2" s="62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3"/>
      <c r="N3" s="3"/>
      <c r="O3" s="3"/>
      <c r="P3" s="3"/>
      <c r="Q3" s="62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s="56" customFormat="1" ht="23" customHeight="1">
      <c r="A4" s="43" t="s">
        <v>14</v>
      </c>
      <c r="B4" s="241" t="s">
        <v>275</v>
      </c>
      <c r="C4" s="242"/>
      <c r="I4" s="55"/>
      <c r="J4" s="55"/>
      <c r="K4" s="55"/>
      <c r="L4" s="44"/>
      <c r="M4" s="44"/>
      <c r="N4" s="44"/>
      <c r="O4" s="44"/>
      <c r="P4" s="44"/>
      <c r="Q4" s="19"/>
      <c r="R4" s="4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</row>
    <row r="5" spans="1:42" s="5" customFormat="1" ht="23" customHeight="1">
      <c r="A5" s="43" t="s">
        <v>15</v>
      </c>
      <c r="B5" s="243" t="s">
        <v>276</v>
      </c>
      <c r="C5" s="244"/>
      <c r="F5" s="4"/>
      <c r="G5" s="4"/>
      <c r="H5" s="4"/>
      <c r="I5" s="4"/>
      <c r="J5" s="4"/>
      <c r="K5" s="4"/>
      <c r="L5" s="42"/>
      <c r="M5" s="42"/>
      <c r="N5" s="42"/>
      <c r="O5" s="42"/>
      <c r="P5" s="42"/>
      <c r="Q5" s="138"/>
      <c r="R5" s="42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5" customFormat="1" ht="23" customHeight="1">
      <c r="A6" s="43" t="s">
        <v>16</v>
      </c>
      <c r="B6" s="54"/>
      <c r="C6" s="4" t="s">
        <v>72</v>
      </c>
      <c r="D6" s="4"/>
      <c r="E6" s="4"/>
      <c r="F6" s="4"/>
      <c r="G6" s="4"/>
      <c r="H6" s="4"/>
      <c r="I6" s="4"/>
      <c r="J6" s="4"/>
      <c r="K6" s="4"/>
      <c r="L6" s="42"/>
      <c r="M6" s="42"/>
      <c r="N6" s="42"/>
      <c r="O6" s="42"/>
      <c r="P6" s="42"/>
      <c r="Q6" s="138"/>
      <c r="R6" s="42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s="5" customFormat="1" ht="23" customHeight="1">
      <c r="A7" s="43" t="s">
        <v>73</v>
      </c>
      <c r="B7" s="54"/>
      <c r="C7" s="4" t="s">
        <v>72</v>
      </c>
      <c r="D7" s="4"/>
      <c r="E7" s="4"/>
      <c r="F7" s="4"/>
      <c r="G7" s="4"/>
      <c r="H7" s="4"/>
      <c r="I7" s="4"/>
      <c r="J7" s="4"/>
      <c r="K7" s="4"/>
      <c r="L7" s="42"/>
      <c r="M7" s="42"/>
      <c r="N7" s="42"/>
      <c r="O7" s="42"/>
      <c r="P7" s="42"/>
      <c r="Q7" s="138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s="5" customFormat="1" ht="11" customHeight="1">
      <c r="A8" s="43"/>
      <c r="B8" s="43"/>
      <c r="C8" s="4"/>
      <c r="D8" s="4"/>
      <c r="E8" s="4"/>
      <c r="F8" s="4"/>
      <c r="G8" s="4"/>
      <c r="H8" s="4"/>
      <c r="I8" s="4"/>
      <c r="J8" s="4"/>
      <c r="K8" s="4"/>
      <c r="L8" s="42"/>
      <c r="M8" s="42"/>
      <c r="N8" s="42"/>
      <c r="O8" s="42"/>
      <c r="P8" s="42"/>
      <c r="Q8" s="138"/>
      <c r="R8" s="42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5" customFormat="1" ht="23" customHeight="1">
      <c r="A9" s="4" t="s">
        <v>230</v>
      </c>
      <c r="B9" s="4"/>
      <c r="C9" s="4"/>
      <c r="D9" s="4"/>
      <c r="E9" s="4"/>
      <c r="F9" s="4"/>
      <c r="G9" s="4"/>
      <c r="H9" s="4"/>
      <c r="I9" s="4"/>
      <c r="J9" s="4"/>
      <c r="K9" s="4"/>
      <c r="L9" s="42"/>
      <c r="M9" s="42"/>
      <c r="N9" s="42"/>
      <c r="O9" s="42"/>
      <c r="P9" s="42"/>
      <c r="Q9" s="138"/>
      <c r="R9" s="42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s="5" customFormat="1" ht="23" customHeight="1">
      <c r="A10" s="4" t="s">
        <v>223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2"/>
      <c r="M10" s="42"/>
      <c r="N10" s="42"/>
      <c r="O10" s="42"/>
      <c r="P10" s="42"/>
      <c r="Q10" s="138"/>
      <c r="R10" s="42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23" customHeight="1">
      <c r="A11" s="4" t="s">
        <v>224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2"/>
      <c r="M11" s="42"/>
      <c r="N11" s="42"/>
      <c r="O11" s="42"/>
      <c r="P11" s="42"/>
      <c r="Q11" s="138"/>
      <c r="R11" s="42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5" customFormat="1" ht="14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2"/>
      <c r="M12" s="42"/>
      <c r="N12" s="42"/>
      <c r="O12" s="42"/>
      <c r="P12" s="42"/>
      <c r="Q12" s="138"/>
      <c r="R12" s="4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141" customFormat="1" ht="23" customHeight="1" thickBot="1">
      <c r="A13" s="140"/>
      <c r="B13" s="140"/>
      <c r="C13" s="140"/>
      <c r="D13" s="239" t="s">
        <v>70</v>
      </c>
      <c r="E13" s="239"/>
      <c r="F13" s="239"/>
      <c r="G13" s="239"/>
      <c r="H13" s="239"/>
      <c r="I13" s="239"/>
      <c r="J13" s="239"/>
      <c r="K13" s="240"/>
      <c r="L13" s="235" t="s">
        <v>225</v>
      </c>
      <c r="M13" s="236"/>
      <c r="N13" s="236"/>
      <c r="O13" s="236"/>
      <c r="P13" s="236"/>
      <c r="Q13" s="237"/>
      <c r="R13" s="42"/>
      <c r="S13" s="238" t="s">
        <v>236</v>
      </c>
      <c r="T13" s="238"/>
      <c r="U13" s="238" t="s">
        <v>239</v>
      </c>
      <c r="V13" s="238"/>
    </row>
    <row r="14" spans="1:42" s="5" customFormat="1" ht="34" customHeight="1" thickBot="1">
      <c r="A14" s="34" t="s">
        <v>213</v>
      </c>
      <c r="B14" s="34" t="s">
        <v>214</v>
      </c>
      <c r="C14" s="34" t="s">
        <v>215</v>
      </c>
      <c r="D14" s="221" t="s">
        <v>216</v>
      </c>
      <c r="E14" s="222" t="s">
        <v>217</v>
      </c>
      <c r="F14" s="222" t="s">
        <v>218</v>
      </c>
      <c r="G14" s="222" t="s">
        <v>219</v>
      </c>
      <c r="H14" s="222" t="s">
        <v>67</v>
      </c>
      <c r="I14" s="222" t="s">
        <v>220</v>
      </c>
      <c r="J14" s="227" t="s">
        <v>221</v>
      </c>
      <c r="K14" s="228" t="s">
        <v>222</v>
      </c>
      <c r="L14" s="34" t="s">
        <v>67</v>
      </c>
      <c r="M14" s="34" t="s">
        <v>231</v>
      </c>
      <c r="N14" s="34" t="s">
        <v>226</v>
      </c>
      <c r="O14" s="34" t="s">
        <v>227</v>
      </c>
      <c r="P14" s="34" t="s">
        <v>228</v>
      </c>
      <c r="Q14" s="193" t="s">
        <v>229</v>
      </c>
      <c r="R14" s="42"/>
      <c r="S14" s="58" t="s">
        <v>237</v>
      </c>
      <c r="T14" s="58" t="s">
        <v>238</v>
      </c>
      <c r="U14" s="58" t="s">
        <v>237</v>
      </c>
      <c r="V14" s="58" t="s">
        <v>238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23" customHeight="1">
      <c r="A15" s="32">
        <v>46272</v>
      </c>
      <c r="B15" s="32">
        <v>46278</v>
      </c>
      <c r="C15" s="59" t="str">
        <f t="shared" ref="C15:C54" si="0">IF(A15&lt;DATE(2027,1,1),IF(B15&gt;DATE(2026,12,31),"BASE / OPBYGNING","BASE"),IF(A15&lt;DATE(2027,4,1),IF(B15&gt;DATE(2027,3,31),"OPBYGNING / FORB.","OPBYGNING"),"FORBEREDELSE"))</f>
        <v>BASE</v>
      </c>
      <c r="D15" s="232"/>
      <c r="E15" s="233"/>
      <c r="F15" s="233"/>
      <c r="G15" s="214"/>
      <c r="H15" s="215"/>
      <c r="I15" s="215"/>
      <c r="J15" s="216"/>
      <c r="K15" s="229"/>
      <c r="L15" s="194" t="str">
        <f>IF(Beregninger!Q12="","",Beregninger!Q12)</f>
        <v/>
      </c>
      <c r="M15" s="194" t="str">
        <f>IF(Beregninger!R12="","",Beregninger!R12)</f>
        <v/>
      </c>
      <c r="N15" s="195" t="str">
        <f>IF(Beregninger!S12="","",Beregninger!S12)</f>
        <v/>
      </c>
      <c r="O15" s="196" t="str">
        <f>IF(Beregninger!T12="","",Beregninger!T12)</f>
        <v/>
      </c>
      <c r="P15" s="196" t="str">
        <f>IF(Beregninger!V12="","",Beregninger!V12)</f>
        <v>Ikke registreret</v>
      </c>
      <c r="Q15" s="197" t="str">
        <f>IFERROR(IF(D15&gt;0,E15/D15,""),"Fejlindtastning")</f>
        <v/>
      </c>
      <c r="R15" s="42"/>
      <c r="S15" s="2">
        <v>3</v>
      </c>
      <c r="T15" s="2">
        <v>5</v>
      </c>
      <c r="U15" s="2">
        <f>S15</f>
        <v>3</v>
      </c>
      <c r="V15" s="2">
        <f>T15</f>
        <v>5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ht="23" customHeight="1">
      <c r="A16" s="32">
        <v>46279</v>
      </c>
      <c r="B16" s="32">
        <v>46285</v>
      </c>
      <c r="C16" s="59" t="str">
        <f t="shared" si="0"/>
        <v>BASE</v>
      </c>
      <c r="D16" s="223"/>
      <c r="E16" s="224"/>
      <c r="F16" s="224"/>
      <c r="G16" s="212"/>
      <c r="H16" s="213"/>
      <c r="I16" s="213"/>
      <c r="J16" s="217"/>
      <c r="K16" s="230"/>
      <c r="L16" s="194" t="str">
        <f>IF(Beregninger!Q13="","",Beregninger!Q13)</f>
        <v/>
      </c>
      <c r="M16" s="194" t="str">
        <f>IF(Beregninger!R13="","",Beregninger!R13)</f>
        <v/>
      </c>
      <c r="N16" s="195" t="str">
        <f>IF(Beregninger!S13="","",Beregninger!S13)</f>
        <v/>
      </c>
      <c r="O16" s="196" t="str">
        <f>IF(Beregninger!T13="","",Beregninger!T13)</f>
        <v/>
      </c>
      <c r="P16" s="196" t="str">
        <f>IF(Beregninger!V13="","",Beregninger!V13)</f>
        <v>Ikke registreret</v>
      </c>
      <c r="Q16" s="197" t="str">
        <f t="shared" ref="Q16:Q23" si="1">IF(D16&gt;0,E16/D16,"")</f>
        <v/>
      </c>
      <c r="R16" s="42"/>
      <c r="S16" s="2">
        <v>3</v>
      </c>
      <c r="T16" s="2">
        <v>5</v>
      </c>
      <c r="U16" s="1">
        <f>U15+S16</f>
        <v>6</v>
      </c>
      <c r="V16" s="1">
        <f>V15+T16</f>
        <v>10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3" customHeight="1">
      <c r="A17" s="32">
        <v>46286</v>
      </c>
      <c r="B17" s="32">
        <v>46292</v>
      </c>
      <c r="C17" s="59" t="str">
        <f t="shared" si="0"/>
        <v>BASE</v>
      </c>
      <c r="D17" s="223"/>
      <c r="E17" s="224"/>
      <c r="F17" s="224"/>
      <c r="G17" s="212"/>
      <c r="H17" s="213"/>
      <c r="I17" s="213"/>
      <c r="J17" s="217"/>
      <c r="K17" s="230"/>
      <c r="L17" s="194" t="str">
        <f>IF(Beregninger!Q14="","",Beregninger!Q14)</f>
        <v/>
      </c>
      <c r="M17" s="194" t="str">
        <f>IF(Beregninger!R14="","",Beregninger!R14)</f>
        <v/>
      </c>
      <c r="N17" s="195" t="str">
        <f>IF(Beregninger!S14="","",Beregninger!S14)</f>
        <v/>
      </c>
      <c r="O17" s="196" t="str">
        <f>IF(Beregninger!T14="","",Beregninger!T14)</f>
        <v/>
      </c>
      <c r="P17" s="196" t="str">
        <f>IF(Beregninger!V14="","",Beregninger!V14)</f>
        <v>Ikke registreret</v>
      </c>
      <c r="Q17" s="197" t="str">
        <f t="shared" si="1"/>
        <v/>
      </c>
      <c r="R17" s="3"/>
      <c r="S17" s="2">
        <v>3</v>
      </c>
      <c r="T17" s="2">
        <v>5</v>
      </c>
      <c r="U17" s="1">
        <f>U16+S17</f>
        <v>9</v>
      </c>
      <c r="V17" s="1">
        <f t="shared" ref="V17:V18" si="2">V16+T17</f>
        <v>15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3" customHeight="1">
      <c r="A18" s="32">
        <v>46293</v>
      </c>
      <c r="B18" s="32">
        <v>46299</v>
      </c>
      <c r="C18" s="59" t="str">
        <f t="shared" si="0"/>
        <v>BASE</v>
      </c>
      <c r="D18" s="223"/>
      <c r="E18" s="224"/>
      <c r="F18" s="224"/>
      <c r="G18" s="212"/>
      <c r="H18" s="213"/>
      <c r="I18" s="213"/>
      <c r="J18" s="217"/>
      <c r="K18" s="230"/>
      <c r="L18" s="194" t="str">
        <f>IF(Beregninger!Q15="","",Beregninger!Q15)</f>
        <v/>
      </c>
      <c r="M18" s="194" t="str">
        <f>IF(Beregninger!R15="","",Beregninger!R15)</f>
        <v/>
      </c>
      <c r="N18" s="195" t="str">
        <f>IF(Beregninger!S15="","",Beregninger!S15)</f>
        <v/>
      </c>
      <c r="O18" s="196" t="str">
        <f>IF(Beregninger!T15="","",Beregninger!T15)</f>
        <v/>
      </c>
      <c r="P18" s="196" t="str">
        <f>IF(Beregninger!V15="","",Beregninger!V15)</f>
        <v>Ikke registreret</v>
      </c>
      <c r="Q18" s="197" t="str">
        <f t="shared" si="1"/>
        <v/>
      </c>
      <c r="R18" s="3"/>
      <c r="S18" s="2">
        <v>3</v>
      </c>
      <c r="T18" s="2">
        <v>5</v>
      </c>
      <c r="U18" s="1">
        <f>U17+S18</f>
        <v>12</v>
      </c>
      <c r="V18" s="1">
        <f t="shared" si="2"/>
        <v>20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ht="23" customHeight="1">
      <c r="A19" s="32">
        <v>46300</v>
      </c>
      <c r="B19" s="32">
        <v>46306</v>
      </c>
      <c r="C19" s="59" t="str">
        <f t="shared" si="0"/>
        <v>BASE</v>
      </c>
      <c r="D19" s="223"/>
      <c r="E19" s="224"/>
      <c r="F19" s="224"/>
      <c r="G19" s="212"/>
      <c r="H19" s="213"/>
      <c r="I19" s="213"/>
      <c r="J19" s="217"/>
      <c r="K19" s="230"/>
      <c r="L19" s="194" t="str">
        <f>IF(Beregninger!Q16="","",Beregninger!Q16)</f>
        <v/>
      </c>
      <c r="M19" s="194" t="str">
        <f>IF(Beregninger!R16="","",Beregninger!R16)</f>
        <v/>
      </c>
      <c r="N19" s="195" t="str">
        <f>IF(Beregninger!S16="","",Beregninger!S16)</f>
        <v/>
      </c>
      <c r="O19" s="196" t="str">
        <f>IF(Beregninger!T16="","",Beregninger!T16)</f>
        <v/>
      </c>
      <c r="P19" s="196" t="str">
        <f>IF(Beregninger!V16="","",Beregninger!V16)</f>
        <v>Ikke registreret</v>
      </c>
      <c r="Q19" s="197" t="str">
        <f t="shared" si="1"/>
        <v/>
      </c>
      <c r="R19" s="3"/>
      <c r="S19" s="2">
        <v>3</v>
      </c>
      <c r="T19" s="2">
        <v>5</v>
      </c>
      <c r="U19" s="1">
        <f t="shared" ref="U19:U32" si="3">U18+S19</f>
        <v>15</v>
      </c>
      <c r="V19" s="1">
        <f t="shared" ref="V19:V32" si="4">V18+T19</f>
        <v>25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ht="23" customHeight="1">
      <c r="A20" s="32">
        <v>46307</v>
      </c>
      <c r="B20" s="32">
        <v>46313</v>
      </c>
      <c r="C20" s="59" t="str">
        <f t="shared" si="0"/>
        <v>BASE</v>
      </c>
      <c r="D20" s="223"/>
      <c r="E20" s="224"/>
      <c r="F20" s="224"/>
      <c r="G20" s="212"/>
      <c r="H20" s="213"/>
      <c r="I20" s="213"/>
      <c r="J20" s="217"/>
      <c r="K20" s="230"/>
      <c r="L20" s="194" t="str">
        <f>IF(Beregninger!Q17="","",Beregninger!Q17)</f>
        <v/>
      </c>
      <c r="M20" s="194" t="str">
        <f>IF(Beregninger!R17="","",Beregninger!R17)</f>
        <v/>
      </c>
      <c r="N20" s="195" t="str">
        <f>IF(Beregninger!S17="","",Beregninger!S17)</f>
        <v/>
      </c>
      <c r="O20" s="196" t="str">
        <f>IF(Beregninger!T17="","",Beregninger!T17)</f>
        <v/>
      </c>
      <c r="P20" s="196" t="str">
        <f>IF(Beregninger!V17="","",Beregninger!V17)</f>
        <v>Ikke registreret</v>
      </c>
      <c r="Q20" s="197" t="str">
        <f t="shared" si="1"/>
        <v/>
      </c>
      <c r="R20" s="3"/>
      <c r="S20" s="2">
        <v>3</v>
      </c>
      <c r="T20" s="2">
        <v>5</v>
      </c>
      <c r="U20" s="1">
        <f t="shared" si="3"/>
        <v>18</v>
      </c>
      <c r="V20" s="1">
        <f t="shared" si="4"/>
        <v>30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23" customHeight="1">
      <c r="A21" s="32">
        <v>46314</v>
      </c>
      <c r="B21" s="32">
        <v>46320</v>
      </c>
      <c r="C21" s="59" t="str">
        <f t="shared" si="0"/>
        <v>BASE</v>
      </c>
      <c r="D21" s="223"/>
      <c r="E21" s="224"/>
      <c r="F21" s="224"/>
      <c r="G21" s="212"/>
      <c r="H21" s="213"/>
      <c r="I21" s="213"/>
      <c r="J21" s="217"/>
      <c r="K21" s="230"/>
      <c r="L21" s="194" t="str">
        <f>IF(Beregninger!Q18="","",Beregninger!Q18)</f>
        <v/>
      </c>
      <c r="M21" s="194" t="str">
        <f>IF(Beregninger!R18="","",Beregninger!R18)</f>
        <v/>
      </c>
      <c r="N21" s="195" t="str">
        <f>IF(Beregninger!S18="","",Beregninger!S18)</f>
        <v/>
      </c>
      <c r="O21" s="196" t="str">
        <f>IF(Beregninger!T18="","",Beregninger!T18)</f>
        <v/>
      </c>
      <c r="P21" s="196" t="str">
        <f>IF(Beregninger!V18="","",Beregninger!V18)</f>
        <v>Ikke registreret</v>
      </c>
      <c r="Q21" s="197" t="str">
        <f t="shared" si="1"/>
        <v/>
      </c>
      <c r="R21" s="3"/>
      <c r="S21" s="2">
        <v>3</v>
      </c>
      <c r="T21" s="2">
        <v>5</v>
      </c>
      <c r="U21" s="1">
        <f t="shared" si="3"/>
        <v>21</v>
      </c>
      <c r="V21" s="1">
        <f t="shared" si="4"/>
        <v>35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23" customHeight="1">
      <c r="A22" s="32">
        <v>46321</v>
      </c>
      <c r="B22" s="32">
        <v>46327</v>
      </c>
      <c r="C22" s="59" t="str">
        <f t="shared" si="0"/>
        <v>BASE</v>
      </c>
      <c r="D22" s="223"/>
      <c r="E22" s="224"/>
      <c r="F22" s="224"/>
      <c r="G22" s="212"/>
      <c r="H22" s="213"/>
      <c r="I22" s="213"/>
      <c r="J22" s="217"/>
      <c r="K22" s="230"/>
      <c r="L22" s="194" t="str">
        <f>IF(Beregninger!Q19="","",Beregninger!Q19)</f>
        <v/>
      </c>
      <c r="M22" s="194" t="str">
        <f>IF(Beregninger!R19="","",Beregninger!R19)</f>
        <v/>
      </c>
      <c r="N22" s="195" t="str">
        <f>IF(Beregninger!S19="","",Beregninger!S19)</f>
        <v/>
      </c>
      <c r="O22" s="196" t="str">
        <f>IF(Beregninger!T19="","",Beregninger!T19)</f>
        <v/>
      </c>
      <c r="P22" s="196" t="str">
        <f>IF(Beregninger!V19="","",Beregninger!V19)</f>
        <v>Ikke registreret</v>
      </c>
      <c r="Q22" s="197" t="str">
        <f t="shared" si="1"/>
        <v/>
      </c>
      <c r="R22" s="3"/>
      <c r="S22" s="2">
        <v>3</v>
      </c>
      <c r="T22" s="2">
        <v>5</v>
      </c>
      <c r="U22" s="1">
        <f t="shared" si="3"/>
        <v>24</v>
      </c>
      <c r="V22" s="1">
        <f t="shared" si="4"/>
        <v>40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23" customHeight="1">
      <c r="A23" s="32">
        <v>46328</v>
      </c>
      <c r="B23" s="32">
        <v>46334</v>
      </c>
      <c r="C23" s="59" t="str">
        <f t="shared" si="0"/>
        <v>BASE</v>
      </c>
      <c r="D23" s="223"/>
      <c r="E23" s="224"/>
      <c r="F23" s="224"/>
      <c r="G23" s="212"/>
      <c r="H23" s="213"/>
      <c r="I23" s="213"/>
      <c r="J23" s="217"/>
      <c r="K23" s="230"/>
      <c r="L23" s="194" t="str">
        <f>IF(Beregninger!Q20="","",Beregninger!Q20)</f>
        <v/>
      </c>
      <c r="M23" s="194" t="str">
        <f>IF(Beregninger!R20="","",Beregninger!R20)</f>
        <v/>
      </c>
      <c r="N23" s="195" t="str">
        <f>IF(Beregninger!S20="","",Beregninger!S20)</f>
        <v/>
      </c>
      <c r="O23" s="196" t="str">
        <f>IF(Beregninger!T20="","",Beregninger!T20)</f>
        <v/>
      </c>
      <c r="P23" s="196" t="str">
        <f>IF(Beregninger!V20="","",Beregninger!V20)</f>
        <v>Ikke registreret</v>
      </c>
      <c r="Q23" s="197" t="str">
        <f t="shared" si="1"/>
        <v/>
      </c>
      <c r="R23" s="3"/>
      <c r="S23" s="2">
        <v>3</v>
      </c>
      <c r="T23" s="2">
        <v>5</v>
      </c>
      <c r="U23" s="1">
        <f t="shared" si="3"/>
        <v>27</v>
      </c>
      <c r="V23" s="1">
        <f t="shared" si="4"/>
        <v>45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23" customHeight="1">
      <c r="A24" s="32">
        <v>46335</v>
      </c>
      <c r="B24" s="32">
        <v>46341</v>
      </c>
      <c r="C24" s="59" t="str">
        <f t="shared" si="0"/>
        <v>BASE</v>
      </c>
      <c r="D24" s="223"/>
      <c r="E24" s="224"/>
      <c r="F24" s="224"/>
      <c r="G24" s="212"/>
      <c r="H24" s="213"/>
      <c r="I24" s="213"/>
      <c r="J24" s="217"/>
      <c r="K24" s="230"/>
      <c r="L24" s="194" t="str">
        <f>IF(Beregninger!Q21="","",Beregninger!Q21)</f>
        <v/>
      </c>
      <c r="M24" s="194" t="str">
        <f>IF(Beregninger!R21="","",Beregninger!R21)</f>
        <v/>
      </c>
      <c r="N24" s="195" t="str">
        <f>IF(Beregninger!S21="","",Beregninger!S21)</f>
        <v/>
      </c>
      <c r="O24" s="196" t="str">
        <f>IF(Beregninger!T21="","",Beregninger!T21)</f>
        <v/>
      </c>
      <c r="P24" s="196" t="str">
        <f>IF(Beregninger!V21="","",Beregninger!V21)</f>
        <v>Ikke registreret</v>
      </c>
      <c r="Q24" s="197"/>
      <c r="R24" s="3"/>
      <c r="S24" s="2">
        <v>3</v>
      </c>
      <c r="T24" s="2">
        <v>5</v>
      </c>
      <c r="U24" s="1">
        <f t="shared" si="3"/>
        <v>30</v>
      </c>
      <c r="V24" s="1">
        <f t="shared" si="4"/>
        <v>50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23" customHeight="1">
      <c r="A25" s="32">
        <v>46342</v>
      </c>
      <c r="B25" s="32">
        <v>46348</v>
      </c>
      <c r="C25" s="59" t="str">
        <f t="shared" si="0"/>
        <v>BASE</v>
      </c>
      <c r="D25" s="223"/>
      <c r="E25" s="224"/>
      <c r="F25" s="224"/>
      <c r="G25" s="212"/>
      <c r="H25" s="213"/>
      <c r="I25" s="213"/>
      <c r="J25" s="217"/>
      <c r="K25" s="230"/>
      <c r="L25" s="194" t="str">
        <f>IF(Beregninger!Q22="","",Beregninger!Q22)</f>
        <v/>
      </c>
      <c r="M25" s="194" t="str">
        <f>IF(Beregninger!R22="","",Beregninger!R22)</f>
        <v/>
      </c>
      <c r="N25" s="195" t="str">
        <f>IF(Beregninger!S22="","",Beregninger!S22)</f>
        <v/>
      </c>
      <c r="O25" s="196" t="str">
        <f>IF(Beregninger!T22="","",Beregninger!T22)</f>
        <v/>
      </c>
      <c r="P25" s="196" t="str">
        <f>IF(Beregninger!V22="","",Beregninger!V22)</f>
        <v>Ikke registreret</v>
      </c>
      <c r="Q25" s="197"/>
      <c r="R25" s="3"/>
      <c r="S25" s="2">
        <v>3</v>
      </c>
      <c r="T25" s="2">
        <v>5</v>
      </c>
      <c r="U25" s="1">
        <f t="shared" si="3"/>
        <v>33</v>
      </c>
      <c r="V25" s="1">
        <f t="shared" si="4"/>
        <v>55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23" customHeight="1">
      <c r="A26" s="32">
        <v>46349</v>
      </c>
      <c r="B26" s="32">
        <v>46355</v>
      </c>
      <c r="C26" s="59" t="str">
        <f t="shared" si="0"/>
        <v>BASE</v>
      </c>
      <c r="D26" s="223"/>
      <c r="E26" s="224"/>
      <c r="F26" s="224"/>
      <c r="G26" s="212"/>
      <c r="H26" s="213"/>
      <c r="I26" s="213"/>
      <c r="J26" s="217"/>
      <c r="K26" s="230"/>
      <c r="L26" s="194" t="str">
        <f>IF(Beregninger!Q23="","",Beregninger!Q23)</f>
        <v/>
      </c>
      <c r="M26" s="194" t="str">
        <f>IF(Beregninger!R23="","",Beregninger!R23)</f>
        <v/>
      </c>
      <c r="N26" s="195" t="str">
        <f>IF(Beregninger!S23="","",Beregninger!S23)</f>
        <v/>
      </c>
      <c r="O26" s="196" t="str">
        <f>IF(Beregninger!T23="","",Beregninger!T23)</f>
        <v/>
      </c>
      <c r="P26" s="196" t="str">
        <f>IF(Beregninger!V23="","",Beregninger!V23)</f>
        <v>Ikke registreret</v>
      </c>
      <c r="Q26" s="197"/>
      <c r="R26" s="3"/>
      <c r="S26" s="2">
        <v>3</v>
      </c>
      <c r="T26" s="2">
        <v>5</v>
      </c>
      <c r="U26" s="1">
        <f t="shared" si="3"/>
        <v>36</v>
      </c>
      <c r="V26" s="1">
        <f t="shared" si="4"/>
        <v>60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23" customHeight="1">
      <c r="A27" s="32">
        <v>46356</v>
      </c>
      <c r="B27" s="32">
        <v>46362</v>
      </c>
      <c r="C27" s="59" t="str">
        <f t="shared" si="0"/>
        <v>BASE</v>
      </c>
      <c r="D27" s="223"/>
      <c r="E27" s="224"/>
      <c r="F27" s="224"/>
      <c r="G27" s="212"/>
      <c r="H27" s="213"/>
      <c r="I27" s="213"/>
      <c r="J27" s="217"/>
      <c r="K27" s="230"/>
      <c r="L27" s="194" t="str">
        <f>IF(Beregninger!Q24="","",Beregninger!Q24)</f>
        <v/>
      </c>
      <c r="M27" s="194" t="str">
        <f>IF(Beregninger!R24="","",Beregninger!R24)</f>
        <v/>
      </c>
      <c r="N27" s="195" t="str">
        <f>IF(Beregninger!S24="","",Beregninger!S24)</f>
        <v/>
      </c>
      <c r="O27" s="196" t="str">
        <f>IF(Beregninger!T24="","",Beregninger!T24)</f>
        <v/>
      </c>
      <c r="P27" s="196" t="str">
        <f>IF(Beregninger!V24="","",Beregninger!V24)</f>
        <v>Ikke registreret</v>
      </c>
      <c r="Q27" s="197"/>
      <c r="R27" s="3"/>
      <c r="S27" s="2">
        <v>3</v>
      </c>
      <c r="T27" s="2">
        <v>5</v>
      </c>
      <c r="U27" s="1">
        <f t="shared" si="3"/>
        <v>39</v>
      </c>
      <c r="V27" s="1">
        <f t="shared" si="4"/>
        <v>65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23" customHeight="1">
      <c r="A28" s="32">
        <v>46363</v>
      </c>
      <c r="B28" s="32">
        <v>46369</v>
      </c>
      <c r="C28" s="59" t="str">
        <f t="shared" si="0"/>
        <v>BASE</v>
      </c>
      <c r="D28" s="223"/>
      <c r="E28" s="224"/>
      <c r="F28" s="224"/>
      <c r="G28" s="212"/>
      <c r="H28" s="213"/>
      <c r="I28" s="213"/>
      <c r="J28" s="217"/>
      <c r="K28" s="230"/>
      <c r="L28" s="194" t="str">
        <f>IF(Beregninger!Q25="","",Beregninger!Q25)</f>
        <v/>
      </c>
      <c r="M28" s="194" t="str">
        <f>IF(Beregninger!R25="","",Beregninger!R25)</f>
        <v/>
      </c>
      <c r="N28" s="195" t="str">
        <f>IF(Beregninger!S25="","",Beregninger!S25)</f>
        <v/>
      </c>
      <c r="O28" s="196" t="str">
        <f>IF(Beregninger!T25="","",Beregninger!T25)</f>
        <v/>
      </c>
      <c r="P28" s="196" t="str">
        <f>IF(Beregninger!V25="","",Beregninger!V25)</f>
        <v>Ikke registreret</v>
      </c>
      <c r="Q28" s="197"/>
      <c r="R28" s="3"/>
      <c r="S28" s="2">
        <v>3</v>
      </c>
      <c r="T28" s="2">
        <v>5</v>
      </c>
      <c r="U28" s="1">
        <f t="shared" si="3"/>
        <v>42</v>
      </c>
      <c r="V28" s="1">
        <f t="shared" si="4"/>
        <v>70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ht="23" customHeight="1">
      <c r="A29" s="32">
        <v>46370</v>
      </c>
      <c r="B29" s="32">
        <v>46376</v>
      </c>
      <c r="C29" s="59" t="str">
        <f t="shared" si="0"/>
        <v>BASE</v>
      </c>
      <c r="D29" s="223"/>
      <c r="E29" s="224"/>
      <c r="F29" s="224"/>
      <c r="G29" s="212"/>
      <c r="H29" s="213"/>
      <c r="I29" s="213"/>
      <c r="J29" s="217"/>
      <c r="K29" s="230"/>
      <c r="L29" s="194" t="str">
        <f>IF(Beregninger!Q26="","",Beregninger!Q26)</f>
        <v/>
      </c>
      <c r="M29" s="194" t="str">
        <f>IF(Beregninger!R26="","",Beregninger!R26)</f>
        <v/>
      </c>
      <c r="N29" s="195" t="str">
        <f>IF(Beregninger!S26="","",Beregninger!S26)</f>
        <v/>
      </c>
      <c r="O29" s="196" t="str">
        <f>IF(Beregninger!T26="","",Beregninger!T26)</f>
        <v/>
      </c>
      <c r="P29" s="196" t="str">
        <f>IF(Beregninger!V26="","",Beregninger!V26)</f>
        <v>Ikke registreret</v>
      </c>
      <c r="Q29" s="197"/>
      <c r="R29" s="3"/>
      <c r="S29" s="2">
        <v>3</v>
      </c>
      <c r="T29" s="2">
        <v>5</v>
      </c>
      <c r="U29" s="1">
        <f t="shared" si="3"/>
        <v>45</v>
      </c>
      <c r="V29" s="1">
        <f t="shared" si="4"/>
        <v>75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23" customHeight="1">
      <c r="A30" s="32">
        <v>46377</v>
      </c>
      <c r="B30" s="32">
        <v>46383</v>
      </c>
      <c r="C30" s="59" t="str">
        <f t="shared" si="0"/>
        <v>BASE</v>
      </c>
      <c r="D30" s="223"/>
      <c r="E30" s="224"/>
      <c r="F30" s="224"/>
      <c r="G30" s="212"/>
      <c r="H30" s="213"/>
      <c r="I30" s="213"/>
      <c r="J30" s="217"/>
      <c r="K30" s="230"/>
      <c r="L30" s="194" t="str">
        <f>IF(Beregninger!Q27="","",Beregninger!Q27)</f>
        <v/>
      </c>
      <c r="M30" s="194" t="str">
        <f>IF(Beregninger!R27="","",Beregninger!R27)</f>
        <v/>
      </c>
      <c r="N30" s="195" t="str">
        <f>IF(Beregninger!S27="","",Beregninger!S27)</f>
        <v/>
      </c>
      <c r="O30" s="196" t="str">
        <f>IF(Beregninger!T27="","",Beregninger!T27)</f>
        <v/>
      </c>
      <c r="P30" s="196" t="str">
        <f>IF(Beregninger!V27="","",Beregninger!V27)</f>
        <v>Ikke registreret</v>
      </c>
      <c r="Q30" s="197"/>
      <c r="R30" s="3"/>
      <c r="S30" s="2">
        <v>3</v>
      </c>
      <c r="T30" s="2">
        <v>5</v>
      </c>
      <c r="U30" s="2">
        <f t="shared" si="3"/>
        <v>48</v>
      </c>
      <c r="V30" s="2">
        <f t="shared" si="4"/>
        <v>80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23" customHeight="1">
      <c r="A31" s="32">
        <v>46384</v>
      </c>
      <c r="B31" s="32">
        <v>46390</v>
      </c>
      <c r="C31" s="60" t="str">
        <f t="shared" si="0"/>
        <v>BASE / OPBYGNING</v>
      </c>
      <c r="D31" s="223"/>
      <c r="E31" s="224"/>
      <c r="F31" s="224"/>
      <c r="G31" s="212"/>
      <c r="H31" s="213"/>
      <c r="I31" s="213"/>
      <c r="J31" s="217"/>
      <c r="K31" s="230"/>
      <c r="L31" s="194" t="str">
        <f>IF(Beregninger!Q28="","",Beregninger!Q28)</f>
        <v/>
      </c>
      <c r="M31" s="194" t="str">
        <f>IF(Beregninger!R28="","",Beregninger!R28)</f>
        <v/>
      </c>
      <c r="N31" s="195" t="str">
        <f>IF(Beregninger!S28="","",Beregninger!S28)</f>
        <v/>
      </c>
      <c r="O31" s="196" t="str">
        <f>IF(Beregninger!T28="","",Beregninger!T28)</f>
        <v/>
      </c>
      <c r="P31" s="196" t="str">
        <f>IF(Beregninger!V28="","",Beregninger!V28)</f>
        <v>Ikke registreret</v>
      </c>
      <c r="Q31" s="197"/>
      <c r="R31" s="3"/>
      <c r="S31" s="2">
        <v>5</v>
      </c>
      <c r="T31" s="2">
        <v>7</v>
      </c>
      <c r="U31" s="2">
        <f t="shared" si="3"/>
        <v>53</v>
      </c>
      <c r="V31" s="2">
        <f t="shared" si="4"/>
        <v>87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23" customHeight="1">
      <c r="A32" s="32">
        <v>46391</v>
      </c>
      <c r="B32" s="32">
        <v>46397</v>
      </c>
      <c r="C32" s="60" t="str">
        <f t="shared" si="0"/>
        <v>OPBYGNING</v>
      </c>
      <c r="D32" s="223"/>
      <c r="E32" s="224"/>
      <c r="F32" s="224"/>
      <c r="G32" s="212"/>
      <c r="H32" s="213"/>
      <c r="I32" s="213"/>
      <c r="J32" s="217"/>
      <c r="K32" s="230"/>
      <c r="L32" s="194" t="str">
        <f>IF(Beregninger!Q29="","",Beregninger!Q29)</f>
        <v/>
      </c>
      <c r="M32" s="194" t="str">
        <f>IF(Beregninger!R29="","",Beregninger!R29)</f>
        <v/>
      </c>
      <c r="N32" s="195" t="str">
        <f>IF(Beregninger!S29="","",Beregninger!S29)</f>
        <v/>
      </c>
      <c r="O32" s="196" t="str">
        <f>IF(Beregninger!T29="","",Beregninger!T29)</f>
        <v/>
      </c>
      <c r="P32" s="196" t="str">
        <f>IF(Beregninger!V29="","",Beregninger!V29)</f>
        <v>Ikke registreret</v>
      </c>
      <c r="Q32" s="197"/>
      <c r="R32" s="3"/>
      <c r="S32" s="2">
        <v>5</v>
      </c>
      <c r="T32" s="2">
        <v>7</v>
      </c>
      <c r="U32" s="2">
        <f t="shared" si="3"/>
        <v>58</v>
      </c>
      <c r="V32" s="2">
        <f t="shared" si="4"/>
        <v>94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23" customHeight="1">
      <c r="A33" s="32">
        <v>46398</v>
      </c>
      <c r="B33" s="32">
        <v>46404</v>
      </c>
      <c r="C33" s="60" t="str">
        <f t="shared" si="0"/>
        <v>OPBYGNING</v>
      </c>
      <c r="D33" s="223"/>
      <c r="E33" s="224"/>
      <c r="F33" s="224"/>
      <c r="G33" s="212"/>
      <c r="H33" s="213"/>
      <c r="I33" s="213"/>
      <c r="J33" s="217"/>
      <c r="K33" s="230"/>
      <c r="L33" s="194" t="str">
        <f>IF(Beregninger!Q30="","",Beregninger!Q30)</f>
        <v/>
      </c>
      <c r="M33" s="194" t="str">
        <f>IF(Beregninger!R30="","",Beregninger!R30)</f>
        <v/>
      </c>
      <c r="N33" s="195" t="str">
        <f>IF(Beregninger!S30="","",Beregninger!S30)</f>
        <v/>
      </c>
      <c r="O33" s="196" t="str">
        <f>IF(Beregninger!T30="","",Beregninger!T30)</f>
        <v/>
      </c>
      <c r="P33" s="196" t="str">
        <f>IF(Beregninger!V30="","",Beregninger!V30)</f>
        <v>Ikke registreret</v>
      </c>
      <c r="Q33" s="197"/>
      <c r="R33" s="3"/>
      <c r="S33" s="2">
        <v>5</v>
      </c>
      <c r="T33" s="2">
        <v>7</v>
      </c>
      <c r="U33" s="2">
        <f t="shared" ref="U33:U54" si="5">U32+S33</f>
        <v>63</v>
      </c>
      <c r="V33" s="2">
        <f t="shared" ref="V33:V54" si="6">V32+T33</f>
        <v>101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23" customHeight="1">
      <c r="A34" s="32">
        <v>46405</v>
      </c>
      <c r="B34" s="32">
        <v>46411</v>
      </c>
      <c r="C34" s="60" t="str">
        <f t="shared" si="0"/>
        <v>OPBYGNING</v>
      </c>
      <c r="D34" s="223"/>
      <c r="E34" s="224"/>
      <c r="F34" s="224"/>
      <c r="G34" s="212"/>
      <c r="H34" s="213"/>
      <c r="I34" s="213"/>
      <c r="J34" s="217"/>
      <c r="K34" s="230"/>
      <c r="L34" s="194" t="str">
        <f>IF(Beregninger!Q31="","",Beregninger!Q31)</f>
        <v/>
      </c>
      <c r="M34" s="194" t="str">
        <f>IF(Beregninger!R31="","",Beregninger!R31)</f>
        <v/>
      </c>
      <c r="N34" s="195" t="str">
        <f>IF(Beregninger!S31="","",Beregninger!S31)</f>
        <v/>
      </c>
      <c r="O34" s="196" t="str">
        <f>IF(Beregninger!T31="","",Beregninger!T31)</f>
        <v/>
      </c>
      <c r="P34" s="196" t="str">
        <f>IF(Beregninger!V31="","",Beregninger!V31)</f>
        <v>Ikke registreret</v>
      </c>
      <c r="Q34" s="197"/>
      <c r="R34" s="3"/>
      <c r="S34" s="2">
        <v>5</v>
      </c>
      <c r="T34" s="2">
        <v>7</v>
      </c>
      <c r="U34" s="2">
        <f t="shared" si="5"/>
        <v>68</v>
      </c>
      <c r="V34" s="2">
        <f t="shared" si="6"/>
        <v>108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23" customHeight="1">
      <c r="A35" s="32">
        <v>46412</v>
      </c>
      <c r="B35" s="32">
        <v>46418</v>
      </c>
      <c r="C35" s="60" t="str">
        <f t="shared" si="0"/>
        <v>OPBYGNING</v>
      </c>
      <c r="D35" s="223"/>
      <c r="E35" s="224"/>
      <c r="F35" s="224"/>
      <c r="G35" s="212"/>
      <c r="H35" s="213"/>
      <c r="I35" s="213"/>
      <c r="J35" s="217"/>
      <c r="K35" s="230"/>
      <c r="L35" s="194" t="str">
        <f>IF(Beregninger!Q32="","",Beregninger!Q32)</f>
        <v/>
      </c>
      <c r="M35" s="194" t="str">
        <f>IF(Beregninger!R32="","",Beregninger!R32)</f>
        <v/>
      </c>
      <c r="N35" s="195" t="str">
        <f>IF(Beregninger!S32="","",Beregninger!S32)</f>
        <v/>
      </c>
      <c r="O35" s="196" t="str">
        <f>IF(Beregninger!T32="","",Beregninger!T32)</f>
        <v/>
      </c>
      <c r="P35" s="196" t="str">
        <f>IF(Beregninger!V32="","",Beregninger!V32)</f>
        <v>Ikke registreret</v>
      </c>
      <c r="Q35" s="197"/>
      <c r="R35" s="3"/>
      <c r="S35" s="2">
        <v>5</v>
      </c>
      <c r="T35" s="2">
        <v>7</v>
      </c>
      <c r="U35" s="2">
        <f t="shared" si="5"/>
        <v>73</v>
      </c>
      <c r="V35" s="2">
        <f t="shared" si="6"/>
        <v>115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23" customHeight="1">
      <c r="A36" s="32">
        <v>46419</v>
      </c>
      <c r="B36" s="32">
        <v>46425</v>
      </c>
      <c r="C36" s="60" t="str">
        <f t="shared" si="0"/>
        <v>OPBYGNING</v>
      </c>
      <c r="D36" s="223"/>
      <c r="E36" s="224"/>
      <c r="F36" s="224"/>
      <c r="G36" s="212"/>
      <c r="H36" s="213"/>
      <c r="I36" s="213"/>
      <c r="J36" s="217"/>
      <c r="K36" s="230"/>
      <c r="L36" s="194" t="str">
        <f>IF(Beregninger!Q33="","",Beregninger!Q33)</f>
        <v/>
      </c>
      <c r="M36" s="194" t="str">
        <f>IF(Beregninger!R33="","",Beregninger!R33)</f>
        <v/>
      </c>
      <c r="N36" s="195" t="str">
        <f>IF(Beregninger!S33="","",Beregninger!S33)</f>
        <v/>
      </c>
      <c r="O36" s="196" t="str">
        <f>IF(Beregninger!T33="","",Beregninger!T33)</f>
        <v/>
      </c>
      <c r="P36" s="196" t="str">
        <f>IF(Beregninger!V33="","",Beregninger!V33)</f>
        <v>Ikke registreret</v>
      </c>
      <c r="Q36" s="197"/>
      <c r="R36" s="3"/>
      <c r="S36" s="2">
        <v>5</v>
      </c>
      <c r="T36" s="2">
        <v>7</v>
      </c>
      <c r="U36" s="2">
        <f t="shared" si="5"/>
        <v>78</v>
      </c>
      <c r="V36" s="2">
        <f t="shared" si="6"/>
        <v>122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23" customHeight="1">
      <c r="A37" s="32">
        <v>46426</v>
      </c>
      <c r="B37" s="32">
        <v>46432</v>
      </c>
      <c r="C37" s="60" t="str">
        <f t="shared" si="0"/>
        <v>OPBYGNING</v>
      </c>
      <c r="D37" s="223"/>
      <c r="E37" s="224"/>
      <c r="F37" s="224"/>
      <c r="G37" s="212"/>
      <c r="H37" s="213"/>
      <c r="I37" s="213"/>
      <c r="J37" s="217"/>
      <c r="K37" s="230"/>
      <c r="L37" s="194" t="str">
        <f>IF(Beregninger!Q34="","",Beregninger!Q34)</f>
        <v/>
      </c>
      <c r="M37" s="194" t="str">
        <f>IF(Beregninger!R34="","",Beregninger!R34)</f>
        <v/>
      </c>
      <c r="N37" s="195" t="str">
        <f>IF(Beregninger!S34="","",Beregninger!S34)</f>
        <v/>
      </c>
      <c r="O37" s="196" t="str">
        <f>IF(Beregninger!T34="","",Beregninger!T34)</f>
        <v/>
      </c>
      <c r="P37" s="196" t="str">
        <f>IF(Beregninger!V34="","",Beregninger!V34)</f>
        <v>Ikke registreret</v>
      </c>
      <c r="Q37" s="197"/>
      <c r="R37" s="3"/>
      <c r="S37" s="2">
        <v>5</v>
      </c>
      <c r="T37" s="2">
        <v>7</v>
      </c>
      <c r="U37" s="2">
        <f t="shared" si="5"/>
        <v>83</v>
      </c>
      <c r="V37" s="2">
        <f t="shared" si="6"/>
        <v>129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23" customHeight="1">
      <c r="A38" s="32">
        <v>46433</v>
      </c>
      <c r="B38" s="32">
        <v>46439</v>
      </c>
      <c r="C38" s="60" t="str">
        <f t="shared" si="0"/>
        <v>OPBYGNING</v>
      </c>
      <c r="D38" s="223"/>
      <c r="E38" s="224"/>
      <c r="F38" s="224"/>
      <c r="G38" s="212"/>
      <c r="H38" s="213"/>
      <c r="I38" s="213"/>
      <c r="J38" s="217"/>
      <c r="K38" s="230"/>
      <c r="L38" s="194" t="str">
        <f>IF(Beregninger!Q35="","",Beregninger!Q35)</f>
        <v/>
      </c>
      <c r="M38" s="194" t="str">
        <f>IF(Beregninger!R35="","",Beregninger!R35)</f>
        <v/>
      </c>
      <c r="N38" s="195" t="str">
        <f>IF(Beregninger!S35="","",Beregninger!S35)</f>
        <v/>
      </c>
      <c r="O38" s="196" t="str">
        <f>IF(Beregninger!T35="","",Beregninger!T35)</f>
        <v/>
      </c>
      <c r="P38" s="196" t="str">
        <f>IF(Beregninger!V35="","",Beregninger!V35)</f>
        <v>Ikke registreret</v>
      </c>
      <c r="Q38" s="197"/>
      <c r="R38" s="3"/>
      <c r="S38" s="2">
        <v>5</v>
      </c>
      <c r="T38" s="2">
        <v>7</v>
      </c>
      <c r="U38" s="2">
        <f t="shared" si="5"/>
        <v>88</v>
      </c>
      <c r="V38" s="2">
        <f t="shared" si="6"/>
        <v>136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23" customHeight="1">
      <c r="A39" s="32">
        <v>46440</v>
      </c>
      <c r="B39" s="32">
        <v>46446</v>
      </c>
      <c r="C39" s="60" t="str">
        <f t="shared" si="0"/>
        <v>OPBYGNING</v>
      </c>
      <c r="D39" s="223"/>
      <c r="E39" s="224"/>
      <c r="F39" s="224"/>
      <c r="G39" s="212"/>
      <c r="H39" s="213"/>
      <c r="I39" s="213"/>
      <c r="J39" s="217"/>
      <c r="K39" s="230"/>
      <c r="L39" s="194" t="str">
        <f>IF(Beregninger!Q36="","",Beregninger!Q36)</f>
        <v/>
      </c>
      <c r="M39" s="194" t="str">
        <f>IF(Beregninger!R36="","",Beregninger!R36)</f>
        <v/>
      </c>
      <c r="N39" s="195" t="str">
        <f>IF(Beregninger!S36="","",Beregninger!S36)</f>
        <v/>
      </c>
      <c r="O39" s="196" t="str">
        <f>IF(Beregninger!T36="","",Beregninger!T36)</f>
        <v/>
      </c>
      <c r="P39" s="196" t="str">
        <f>IF(Beregninger!V36="","",Beregninger!V36)</f>
        <v>Ikke registreret</v>
      </c>
      <c r="Q39" s="197"/>
      <c r="R39" s="3"/>
      <c r="S39" s="2">
        <v>5</v>
      </c>
      <c r="T39" s="2">
        <v>7</v>
      </c>
      <c r="U39" s="2">
        <f t="shared" si="5"/>
        <v>93</v>
      </c>
      <c r="V39" s="2">
        <f t="shared" si="6"/>
        <v>143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ht="23" customHeight="1">
      <c r="A40" s="32">
        <v>46447</v>
      </c>
      <c r="B40" s="32">
        <v>46453</v>
      </c>
      <c r="C40" s="60" t="str">
        <f t="shared" si="0"/>
        <v>OPBYGNING</v>
      </c>
      <c r="D40" s="223"/>
      <c r="E40" s="224"/>
      <c r="F40" s="224"/>
      <c r="G40" s="212"/>
      <c r="H40" s="213"/>
      <c r="I40" s="213"/>
      <c r="J40" s="217"/>
      <c r="K40" s="230"/>
      <c r="L40" s="194" t="str">
        <f>IF(Beregninger!Q37="","",Beregninger!Q37)</f>
        <v/>
      </c>
      <c r="M40" s="194" t="str">
        <f>IF(Beregninger!R37="","",Beregninger!R37)</f>
        <v/>
      </c>
      <c r="N40" s="195" t="str">
        <f>IF(Beregninger!S37="","",Beregninger!S37)</f>
        <v/>
      </c>
      <c r="O40" s="196" t="str">
        <f>IF(Beregninger!T37="","",Beregninger!T37)</f>
        <v/>
      </c>
      <c r="P40" s="196" t="str">
        <f>IF(Beregninger!V37="","",Beregninger!V37)</f>
        <v>Ikke registreret</v>
      </c>
      <c r="Q40" s="197"/>
      <c r="R40" s="3"/>
      <c r="S40" s="2">
        <v>5</v>
      </c>
      <c r="T40" s="2">
        <v>7</v>
      </c>
      <c r="U40" s="2">
        <f t="shared" si="5"/>
        <v>98</v>
      </c>
      <c r="V40" s="2">
        <f t="shared" si="6"/>
        <v>150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ht="23" customHeight="1">
      <c r="A41" s="32">
        <v>46454</v>
      </c>
      <c r="B41" s="32">
        <v>46460</v>
      </c>
      <c r="C41" s="60" t="str">
        <f t="shared" si="0"/>
        <v>OPBYGNING</v>
      </c>
      <c r="D41" s="223"/>
      <c r="E41" s="224"/>
      <c r="F41" s="224"/>
      <c r="G41" s="212"/>
      <c r="H41" s="213"/>
      <c r="I41" s="213"/>
      <c r="J41" s="217"/>
      <c r="K41" s="230"/>
      <c r="L41" s="194" t="str">
        <f>IF(Beregninger!Q38="","",Beregninger!Q38)</f>
        <v/>
      </c>
      <c r="M41" s="194" t="str">
        <f>IF(Beregninger!R38="","",Beregninger!R38)</f>
        <v/>
      </c>
      <c r="N41" s="195" t="str">
        <f>IF(Beregninger!S38="","",Beregninger!S38)</f>
        <v/>
      </c>
      <c r="O41" s="196" t="str">
        <f>IF(Beregninger!T38="","",Beregninger!T38)</f>
        <v/>
      </c>
      <c r="P41" s="196" t="str">
        <f>IF(Beregninger!V38="","",Beregninger!V38)</f>
        <v>Ikke registreret</v>
      </c>
      <c r="Q41" s="197"/>
      <c r="R41" s="3"/>
      <c r="S41" s="2">
        <v>5</v>
      </c>
      <c r="T41" s="2">
        <v>7</v>
      </c>
      <c r="U41" s="2">
        <f t="shared" si="5"/>
        <v>103</v>
      </c>
      <c r="V41" s="2">
        <f t="shared" si="6"/>
        <v>157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ht="23" customHeight="1">
      <c r="A42" s="32">
        <v>46461</v>
      </c>
      <c r="B42" s="32">
        <v>46467</v>
      </c>
      <c r="C42" s="60" t="str">
        <f t="shared" si="0"/>
        <v>OPBYGNING</v>
      </c>
      <c r="D42" s="223"/>
      <c r="E42" s="224"/>
      <c r="F42" s="224"/>
      <c r="G42" s="212"/>
      <c r="H42" s="213"/>
      <c r="I42" s="213"/>
      <c r="J42" s="217"/>
      <c r="K42" s="230"/>
      <c r="L42" s="194" t="str">
        <f>IF(Beregninger!Q39="","",Beregninger!Q39)</f>
        <v/>
      </c>
      <c r="M42" s="194" t="str">
        <f>IF(Beregninger!R39="","",Beregninger!R39)</f>
        <v/>
      </c>
      <c r="N42" s="195" t="str">
        <f>IF(Beregninger!S39="","",Beregninger!S39)</f>
        <v/>
      </c>
      <c r="O42" s="196" t="str">
        <f>IF(Beregninger!T39="","",Beregninger!T39)</f>
        <v/>
      </c>
      <c r="P42" s="196" t="str">
        <f>IF(Beregninger!V39="","",Beregninger!V39)</f>
        <v>Ikke registreret</v>
      </c>
      <c r="Q42" s="197"/>
      <c r="R42" s="3"/>
      <c r="S42" s="2">
        <v>5</v>
      </c>
      <c r="T42" s="2">
        <v>7</v>
      </c>
      <c r="U42" s="2">
        <f t="shared" si="5"/>
        <v>108</v>
      </c>
      <c r="V42" s="2">
        <f t="shared" si="6"/>
        <v>164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ht="23" customHeight="1">
      <c r="A43" s="32">
        <v>46468</v>
      </c>
      <c r="B43" s="32">
        <v>46474</v>
      </c>
      <c r="C43" s="60" t="str">
        <f t="shared" si="0"/>
        <v>OPBYGNING</v>
      </c>
      <c r="D43" s="223"/>
      <c r="E43" s="224"/>
      <c r="F43" s="224"/>
      <c r="G43" s="212"/>
      <c r="H43" s="213"/>
      <c r="I43" s="213"/>
      <c r="J43" s="217"/>
      <c r="K43" s="230"/>
      <c r="L43" s="194" t="str">
        <f>IF(Beregninger!Q40="","",Beregninger!Q40)</f>
        <v/>
      </c>
      <c r="M43" s="194" t="str">
        <f>IF(Beregninger!R40="","",Beregninger!R40)</f>
        <v/>
      </c>
      <c r="N43" s="195" t="str">
        <f>IF(Beregninger!S40="","",Beregninger!S40)</f>
        <v/>
      </c>
      <c r="O43" s="196" t="str">
        <f>IF(Beregninger!T40="","",Beregninger!T40)</f>
        <v/>
      </c>
      <c r="P43" s="196" t="str">
        <f>IF(Beregninger!V40="","",Beregninger!V40)</f>
        <v>Ikke registreret</v>
      </c>
      <c r="Q43" s="197"/>
      <c r="R43" s="3"/>
      <c r="S43" s="2">
        <v>5</v>
      </c>
      <c r="T43" s="2">
        <v>7</v>
      </c>
      <c r="U43" s="2">
        <f t="shared" si="5"/>
        <v>113</v>
      </c>
      <c r="V43" s="2">
        <f t="shared" si="6"/>
        <v>171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23" customHeight="1">
      <c r="A44" s="32">
        <v>46475</v>
      </c>
      <c r="B44" s="32">
        <v>46481</v>
      </c>
      <c r="C44" s="60" t="str">
        <f t="shared" si="0"/>
        <v>OPBYGNING / FORB.</v>
      </c>
      <c r="D44" s="223"/>
      <c r="E44" s="224"/>
      <c r="F44" s="224"/>
      <c r="G44" s="212"/>
      <c r="H44" s="213"/>
      <c r="I44" s="213"/>
      <c r="J44" s="217"/>
      <c r="K44" s="230"/>
      <c r="L44" s="194" t="str">
        <f>IF(Beregninger!Q41="","",Beregninger!Q41)</f>
        <v/>
      </c>
      <c r="M44" s="194" t="str">
        <f>IF(Beregninger!R41="","",Beregninger!R41)</f>
        <v/>
      </c>
      <c r="N44" s="195" t="str">
        <f>IF(Beregninger!S41="","",Beregninger!S41)</f>
        <v/>
      </c>
      <c r="O44" s="196" t="str">
        <f>IF(Beregninger!T41="","",Beregninger!T41)</f>
        <v/>
      </c>
      <c r="P44" s="196" t="str">
        <f>IF(Beregninger!V41="","",Beregninger!V41)</f>
        <v>Ikke registreret</v>
      </c>
      <c r="Q44" s="197"/>
      <c r="R44" s="3"/>
      <c r="S44" s="2">
        <v>5</v>
      </c>
      <c r="T44" s="2">
        <v>7</v>
      </c>
      <c r="U44" s="2">
        <f t="shared" si="5"/>
        <v>118</v>
      </c>
      <c r="V44" s="2">
        <f t="shared" si="6"/>
        <v>178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3" customHeight="1">
      <c r="A45" s="32">
        <v>46482</v>
      </c>
      <c r="B45" s="32">
        <v>46488</v>
      </c>
      <c r="C45" s="61" t="str">
        <f t="shared" si="0"/>
        <v>FORBEREDELSE</v>
      </c>
      <c r="D45" s="223"/>
      <c r="E45" s="224"/>
      <c r="F45" s="224"/>
      <c r="G45" s="212"/>
      <c r="H45" s="213"/>
      <c r="I45" s="213"/>
      <c r="J45" s="217"/>
      <c r="K45" s="230"/>
      <c r="L45" s="194" t="str">
        <f>IF(Beregninger!Q42="","",Beregninger!Q42)</f>
        <v/>
      </c>
      <c r="M45" s="194" t="str">
        <f>IF(Beregninger!R42="","",Beregninger!R42)</f>
        <v/>
      </c>
      <c r="N45" s="195" t="str">
        <f>IF(Beregninger!S42="","",Beregninger!S42)</f>
        <v/>
      </c>
      <c r="O45" s="196" t="str">
        <f>IF(Beregninger!T42="","",Beregninger!T42)</f>
        <v/>
      </c>
      <c r="P45" s="196" t="str">
        <f>IF(Beregninger!V42="","",Beregninger!V42)</f>
        <v>Ikke registreret</v>
      </c>
      <c r="Q45" s="197"/>
      <c r="R45" s="3"/>
      <c r="S45" s="2">
        <v>7</v>
      </c>
      <c r="T45" s="2">
        <v>9</v>
      </c>
      <c r="U45" s="2">
        <f t="shared" si="5"/>
        <v>125</v>
      </c>
      <c r="V45" s="2">
        <f t="shared" si="6"/>
        <v>187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3" customHeight="1">
      <c r="A46" s="32">
        <v>46489</v>
      </c>
      <c r="B46" s="32">
        <v>46495</v>
      </c>
      <c r="C46" s="61" t="str">
        <f t="shared" si="0"/>
        <v>FORBEREDELSE</v>
      </c>
      <c r="D46" s="223"/>
      <c r="E46" s="224"/>
      <c r="F46" s="224"/>
      <c r="G46" s="212"/>
      <c r="H46" s="213"/>
      <c r="I46" s="213"/>
      <c r="J46" s="217"/>
      <c r="K46" s="230"/>
      <c r="L46" s="194" t="str">
        <f>IF(Beregninger!Q43="","",Beregninger!Q43)</f>
        <v/>
      </c>
      <c r="M46" s="194" t="str">
        <f>IF(Beregninger!R43="","",Beregninger!R43)</f>
        <v/>
      </c>
      <c r="N46" s="195" t="str">
        <f>IF(Beregninger!S43="","",Beregninger!S43)</f>
        <v/>
      </c>
      <c r="O46" s="196" t="str">
        <f>IF(Beregninger!T43="","",Beregninger!T43)</f>
        <v/>
      </c>
      <c r="P46" s="196" t="str">
        <f>IF(Beregninger!V43="","",Beregninger!V43)</f>
        <v>Ikke registreret</v>
      </c>
      <c r="Q46" s="197"/>
      <c r="R46" s="3"/>
      <c r="S46" s="2">
        <v>7</v>
      </c>
      <c r="T46" s="2">
        <v>9</v>
      </c>
      <c r="U46" s="2">
        <f t="shared" si="5"/>
        <v>132</v>
      </c>
      <c r="V46" s="2">
        <f t="shared" si="6"/>
        <v>196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23" customHeight="1">
      <c r="A47" s="32">
        <v>46496</v>
      </c>
      <c r="B47" s="32">
        <v>46502</v>
      </c>
      <c r="C47" s="61" t="str">
        <f t="shared" si="0"/>
        <v>FORBEREDELSE</v>
      </c>
      <c r="D47" s="223"/>
      <c r="E47" s="224"/>
      <c r="F47" s="224"/>
      <c r="G47" s="212"/>
      <c r="H47" s="213"/>
      <c r="I47" s="213"/>
      <c r="J47" s="217"/>
      <c r="K47" s="230"/>
      <c r="L47" s="194" t="str">
        <f>IF(Beregninger!Q44="","",Beregninger!Q44)</f>
        <v/>
      </c>
      <c r="M47" s="194" t="str">
        <f>IF(Beregninger!R44="","",Beregninger!R44)</f>
        <v/>
      </c>
      <c r="N47" s="195" t="str">
        <f>IF(Beregninger!S44="","",Beregninger!S44)</f>
        <v/>
      </c>
      <c r="O47" s="196" t="str">
        <f>IF(Beregninger!T44="","",Beregninger!T44)</f>
        <v/>
      </c>
      <c r="P47" s="196" t="str">
        <f>IF(Beregninger!V44="","",Beregninger!V44)</f>
        <v>Ikke registreret</v>
      </c>
      <c r="Q47" s="197"/>
      <c r="R47" s="3"/>
      <c r="S47" s="2">
        <v>7</v>
      </c>
      <c r="T47" s="2">
        <v>9</v>
      </c>
      <c r="U47" s="2">
        <f t="shared" si="5"/>
        <v>139</v>
      </c>
      <c r="V47" s="2">
        <f t="shared" si="6"/>
        <v>205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23" customHeight="1">
      <c r="A48" s="32">
        <v>46503</v>
      </c>
      <c r="B48" s="32">
        <v>46509</v>
      </c>
      <c r="C48" s="61" t="str">
        <f t="shared" si="0"/>
        <v>FORBEREDELSE</v>
      </c>
      <c r="D48" s="223"/>
      <c r="E48" s="224"/>
      <c r="F48" s="224"/>
      <c r="G48" s="212"/>
      <c r="H48" s="213"/>
      <c r="I48" s="213"/>
      <c r="J48" s="217"/>
      <c r="K48" s="230"/>
      <c r="L48" s="194" t="str">
        <f>IF(Beregninger!Q45="","",Beregninger!Q45)</f>
        <v/>
      </c>
      <c r="M48" s="194" t="str">
        <f>IF(Beregninger!R45="","",Beregninger!R45)</f>
        <v/>
      </c>
      <c r="N48" s="195" t="str">
        <f>IF(Beregninger!S45="","",Beregninger!S45)</f>
        <v/>
      </c>
      <c r="O48" s="196" t="str">
        <f>IF(Beregninger!T45="","",Beregninger!T45)</f>
        <v/>
      </c>
      <c r="P48" s="196" t="str">
        <f>IF(Beregninger!V45="","",Beregninger!V45)</f>
        <v>Ikke registreret</v>
      </c>
      <c r="Q48" s="197"/>
      <c r="R48" s="3"/>
      <c r="S48" s="2">
        <v>7</v>
      </c>
      <c r="T48" s="2">
        <v>9</v>
      </c>
      <c r="U48" s="2">
        <f t="shared" si="5"/>
        <v>146</v>
      </c>
      <c r="V48" s="2">
        <f t="shared" si="6"/>
        <v>214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23" customHeight="1">
      <c r="A49" s="32">
        <v>46510</v>
      </c>
      <c r="B49" s="32">
        <v>46516</v>
      </c>
      <c r="C49" s="61" t="str">
        <f t="shared" si="0"/>
        <v>FORBEREDELSE</v>
      </c>
      <c r="D49" s="223"/>
      <c r="E49" s="224"/>
      <c r="F49" s="224"/>
      <c r="G49" s="212"/>
      <c r="H49" s="213"/>
      <c r="I49" s="213"/>
      <c r="J49" s="217"/>
      <c r="K49" s="230"/>
      <c r="L49" s="194" t="str">
        <f>IF(Beregninger!Q46="","",Beregninger!Q46)</f>
        <v/>
      </c>
      <c r="M49" s="194" t="str">
        <f>IF(Beregninger!R46="","",Beregninger!R46)</f>
        <v/>
      </c>
      <c r="N49" s="195" t="str">
        <f>IF(Beregninger!S46="","",Beregninger!S46)</f>
        <v/>
      </c>
      <c r="O49" s="196" t="str">
        <f>IF(Beregninger!T46="","",Beregninger!T46)</f>
        <v/>
      </c>
      <c r="P49" s="196" t="str">
        <f>IF(Beregninger!V46="","",Beregninger!V46)</f>
        <v>Ikke registreret</v>
      </c>
      <c r="Q49" s="197"/>
      <c r="R49" s="3"/>
      <c r="S49" s="2">
        <v>7</v>
      </c>
      <c r="T49" s="2">
        <v>9</v>
      </c>
      <c r="U49" s="2">
        <f t="shared" si="5"/>
        <v>153</v>
      </c>
      <c r="V49" s="2">
        <f t="shared" si="6"/>
        <v>223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23" customHeight="1">
      <c r="A50" s="32">
        <v>46517</v>
      </c>
      <c r="B50" s="32">
        <v>46523</v>
      </c>
      <c r="C50" s="61" t="str">
        <f t="shared" si="0"/>
        <v>FORBEREDELSE</v>
      </c>
      <c r="D50" s="223"/>
      <c r="E50" s="224"/>
      <c r="F50" s="224"/>
      <c r="G50" s="212"/>
      <c r="H50" s="213"/>
      <c r="I50" s="213"/>
      <c r="J50" s="217"/>
      <c r="K50" s="230"/>
      <c r="L50" s="194" t="str">
        <f>IF(Beregninger!Q47="","",Beregninger!Q47)</f>
        <v/>
      </c>
      <c r="M50" s="194" t="str">
        <f>IF(Beregninger!R47="","",Beregninger!R47)</f>
        <v/>
      </c>
      <c r="N50" s="195" t="str">
        <f>IF(Beregninger!S47="","",Beregninger!S47)</f>
        <v/>
      </c>
      <c r="O50" s="196" t="str">
        <f>IF(Beregninger!T47="","",Beregninger!T47)</f>
        <v/>
      </c>
      <c r="P50" s="196" t="str">
        <f>IF(Beregninger!V47="","",Beregninger!V47)</f>
        <v>Ikke registreret</v>
      </c>
      <c r="Q50" s="197"/>
      <c r="R50" s="3"/>
      <c r="S50" s="2">
        <v>7</v>
      </c>
      <c r="T50" s="2">
        <v>9</v>
      </c>
      <c r="U50" s="2">
        <f t="shared" si="5"/>
        <v>160</v>
      </c>
      <c r="V50" s="2">
        <f t="shared" si="6"/>
        <v>232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3" customHeight="1">
      <c r="A51" s="32">
        <v>46524</v>
      </c>
      <c r="B51" s="32">
        <v>46530</v>
      </c>
      <c r="C51" s="61" t="str">
        <f t="shared" si="0"/>
        <v>FORBEREDELSE</v>
      </c>
      <c r="D51" s="223"/>
      <c r="E51" s="224"/>
      <c r="F51" s="224"/>
      <c r="G51" s="212"/>
      <c r="H51" s="213"/>
      <c r="I51" s="213"/>
      <c r="J51" s="217"/>
      <c r="K51" s="230"/>
      <c r="L51" s="194" t="str">
        <f>IF(Beregninger!Q48="","",Beregninger!Q48)</f>
        <v/>
      </c>
      <c r="M51" s="194" t="str">
        <f>IF(Beregninger!R48="","",Beregninger!R48)</f>
        <v/>
      </c>
      <c r="N51" s="195" t="str">
        <f>IF(Beregninger!S48="","",Beregninger!S48)</f>
        <v/>
      </c>
      <c r="O51" s="196" t="str">
        <f>IF(Beregninger!T48="","",Beregninger!T48)</f>
        <v/>
      </c>
      <c r="P51" s="196" t="str">
        <f>IF(Beregninger!V48="","",Beregninger!V48)</f>
        <v>Ikke registreret</v>
      </c>
      <c r="Q51" s="197"/>
      <c r="R51" s="3"/>
      <c r="S51" s="2">
        <v>7</v>
      </c>
      <c r="T51" s="2">
        <v>9</v>
      </c>
      <c r="U51" s="2">
        <f t="shared" si="5"/>
        <v>167</v>
      </c>
      <c r="V51" s="2">
        <f t="shared" si="6"/>
        <v>241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3" customHeight="1">
      <c r="A52" s="32">
        <v>46531</v>
      </c>
      <c r="B52" s="32">
        <v>46537</v>
      </c>
      <c r="C52" s="61" t="str">
        <f t="shared" si="0"/>
        <v>FORBEREDELSE</v>
      </c>
      <c r="D52" s="223"/>
      <c r="E52" s="224"/>
      <c r="F52" s="224"/>
      <c r="G52" s="212"/>
      <c r="H52" s="213"/>
      <c r="I52" s="213"/>
      <c r="J52" s="217"/>
      <c r="K52" s="230"/>
      <c r="L52" s="194" t="str">
        <f>IF(Beregninger!Q49="","",Beregninger!Q49)</f>
        <v/>
      </c>
      <c r="M52" s="194" t="str">
        <f>IF(Beregninger!R49="","",Beregninger!R49)</f>
        <v/>
      </c>
      <c r="N52" s="195" t="str">
        <f>IF(Beregninger!S49="","",Beregninger!S49)</f>
        <v/>
      </c>
      <c r="O52" s="196" t="str">
        <f>IF(Beregninger!T49="","",Beregninger!T49)</f>
        <v/>
      </c>
      <c r="P52" s="196" t="str">
        <f>IF(Beregninger!V49="","",Beregninger!V49)</f>
        <v>Ikke registreret</v>
      </c>
      <c r="Q52" s="197"/>
      <c r="R52" s="3"/>
      <c r="S52" s="2">
        <v>7</v>
      </c>
      <c r="T52" s="2">
        <v>9</v>
      </c>
      <c r="U52" s="2">
        <f t="shared" si="5"/>
        <v>174</v>
      </c>
      <c r="V52" s="2">
        <f t="shared" si="6"/>
        <v>250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3" customHeight="1">
      <c r="A53" s="32">
        <v>46538</v>
      </c>
      <c r="B53" s="32">
        <v>46544</v>
      </c>
      <c r="C53" s="61" t="str">
        <f t="shared" si="0"/>
        <v>FORBEREDELSE</v>
      </c>
      <c r="D53" s="223"/>
      <c r="E53" s="224"/>
      <c r="F53" s="224"/>
      <c r="G53" s="212"/>
      <c r="H53" s="213"/>
      <c r="I53" s="213"/>
      <c r="J53" s="217"/>
      <c r="K53" s="230"/>
      <c r="L53" s="194" t="str">
        <f>IF(Beregninger!Q50="","",Beregninger!Q50)</f>
        <v/>
      </c>
      <c r="M53" s="194" t="str">
        <f>IF(Beregninger!R50="","",Beregninger!R50)</f>
        <v/>
      </c>
      <c r="N53" s="195" t="str">
        <f>IF(Beregninger!S50="","",Beregninger!S50)</f>
        <v/>
      </c>
      <c r="O53" s="196" t="str">
        <f>IF(Beregninger!T50="","",Beregninger!T50)</f>
        <v/>
      </c>
      <c r="P53" s="196" t="str">
        <f>IF(Beregninger!V50="","",Beregninger!V50)</f>
        <v>Ikke registreret</v>
      </c>
      <c r="Q53" s="197"/>
      <c r="R53" s="3"/>
      <c r="S53" s="2">
        <v>7</v>
      </c>
      <c r="T53" s="2">
        <v>9</v>
      </c>
      <c r="U53" s="2">
        <f t="shared" si="5"/>
        <v>181</v>
      </c>
      <c r="V53" s="2">
        <f t="shared" si="6"/>
        <v>259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3" customHeight="1" thickBot="1">
      <c r="A54" s="32">
        <v>46545</v>
      </c>
      <c r="B54" s="32">
        <v>46546</v>
      </c>
      <c r="C54" s="61" t="str">
        <f t="shared" si="0"/>
        <v>FORBEREDELSE</v>
      </c>
      <c r="D54" s="225"/>
      <c r="E54" s="226"/>
      <c r="F54" s="226"/>
      <c r="G54" s="218"/>
      <c r="H54" s="219"/>
      <c r="I54" s="219"/>
      <c r="J54" s="220"/>
      <c r="K54" s="231"/>
      <c r="L54" s="198" t="str">
        <f>IF(Beregninger!Q51="","",Beregninger!Q51)</f>
        <v/>
      </c>
      <c r="M54" s="198" t="str">
        <f>IF(Beregninger!R51="","",Beregninger!R51)</f>
        <v/>
      </c>
      <c r="N54" s="199" t="str">
        <f>IF(Beregninger!S51="","",Beregninger!S51)</f>
        <v/>
      </c>
      <c r="O54" s="200" t="str">
        <f>IF(Beregninger!T51="","",Beregninger!T51)</f>
        <v/>
      </c>
      <c r="P54" s="200" t="str">
        <f>IF(Beregninger!V51="","",Beregninger!V51)</f>
        <v>Ikke registreret</v>
      </c>
      <c r="Q54" s="201"/>
      <c r="R54" s="3"/>
      <c r="S54" s="2">
        <v>7</v>
      </c>
      <c r="T54" s="2">
        <v>9</v>
      </c>
      <c r="U54" s="2">
        <f t="shared" si="5"/>
        <v>188</v>
      </c>
      <c r="V54" s="2">
        <f t="shared" si="6"/>
        <v>268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3" customHeight="1">
      <c r="A55" s="1"/>
      <c r="B55" s="1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  <c r="O55" s="3"/>
      <c r="P55" s="3"/>
      <c r="Q55" s="62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23" customHeight="1">
      <c r="A56" s="1"/>
      <c r="B56" s="1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  <c r="O56" s="3"/>
      <c r="P56" s="3"/>
      <c r="Q56" s="62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3" customHeight="1">
      <c r="A57" s="153" t="s">
        <v>22</v>
      </c>
      <c r="B57" s="1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62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5" customHeight="1">
      <c r="A58" s="1"/>
      <c r="B58" s="1"/>
      <c r="C58" s="1"/>
      <c r="D58" s="1"/>
      <c r="E58" s="1"/>
      <c r="F58" s="1"/>
      <c r="G58" s="3"/>
      <c r="H58" s="3"/>
      <c r="I58" s="3"/>
      <c r="J58" s="3"/>
      <c r="K58" s="3"/>
      <c r="L58" s="3"/>
      <c r="M58" s="3"/>
      <c r="N58" s="3"/>
      <c r="O58" s="3"/>
      <c r="P58" s="3"/>
      <c r="Q58" s="62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3" customHeight="1">
      <c r="A59" s="151" t="s">
        <v>23</v>
      </c>
      <c r="B59" s="1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62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3" customHeight="1">
      <c r="A60" s="151" t="s">
        <v>24</v>
      </c>
      <c r="B60" s="1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62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3" customHeight="1">
      <c r="A61" s="151" t="s">
        <v>25</v>
      </c>
      <c r="B61" s="1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62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3" customHeight="1">
      <c r="A62" s="151" t="s">
        <v>26</v>
      </c>
      <c r="B62" s="1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62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3" customHeight="1">
      <c r="A63" s="151" t="s">
        <v>27</v>
      </c>
      <c r="B63" s="1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62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3" customHeight="1">
      <c r="A64" s="151" t="s">
        <v>28</v>
      </c>
      <c r="B64" s="1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62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3" customHeight="1">
      <c r="A65" s="151" t="s">
        <v>29</v>
      </c>
      <c r="B65" s="1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62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3" customHeight="1">
      <c r="A66" s="151" t="s">
        <v>30</v>
      </c>
      <c r="B66" s="1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62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3" customHeight="1">
      <c r="A67" s="152" t="s">
        <v>31</v>
      </c>
      <c r="B67" s="1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62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3" customHeight="1">
      <c r="A68" s="152" t="s">
        <v>32</v>
      </c>
      <c r="B68" s="1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62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3" customHeight="1">
      <c r="A69" s="1"/>
      <c r="B69" s="1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62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3" customHeight="1">
      <c r="A70" s="1"/>
      <c r="B70" s="1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62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3" customHeight="1">
      <c r="A71" s="1"/>
      <c r="B71" s="1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62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3" customHeight="1">
      <c r="A72" s="1"/>
      <c r="B72" s="1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62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3" customHeight="1">
      <c r="A73" s="1"/>
      <c r="B73" s="1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62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3" customHeight="1">
      <c r="A74" s="1"/>
      <c r="B74" s="1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62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3" customHeight="1">
      <c r="A75" s="1"/>
      <c r="B75" s="1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62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3" customHeight="1">
      <c r="A76" s="1"/>
      <c r="B76" s="1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62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3" customHeight="1">
      <c r="A77" s="1"/>
      <c r="B77" s="1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62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3" customHeight="1">
      <c r="A78" s="1"/>
      <c r="B78" s="1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62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3" customHeight="1">
      <c r="A79" s="1"/>
      <c r="B79" s="1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62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3" customHeight="1">
      <c r="A80" s="1"/>
      <c r="B80" s="1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62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3" customHeight="1">
      <c r="A81" s="1"/>
      <c r="B81" s="1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62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3" customHeight="1">
      <c r="A82" s="1"/>
      <c r="B82" s="1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62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23" customHeight="1">
      <c r="A83" s="1"/>
      <c r="B83" s="1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62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23" customHeight="1">
      <c r="A84" s="1"/>
      <c r="B84" s="1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62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23" customHeight="1">
      <c r="A85" s="1"/>
      <c r="B85" s="1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62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23" customHeight="1">
      <c r="A86" s="1"/>
      <c r="B86" s="1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62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23" customHeight="1">
      <c r="A87" s="1"/>
      <c r="B87" s="1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62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23" customHeight="1">
      <c r="A88" s="1"/>
      <c r="B88" s="1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62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23" customHeight="1">
      <c r="A89" s="1"/>
      <c r="B89" s="1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62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23" customHeight="1">
      <c r="A90" s="1"/>
      <c r="B90" s="1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62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23" customHeight="1">
      <c r="A91" s="1"/>
      <c r="B91" s="1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62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23" customHeight="1">
      <c r="A92" s="1"/>
      <c r="B92" s="1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62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23" customHeight="1">
      <c r="A93" s="1"/>
      <c r="B93" s="1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62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23" customHeight="1">
      <c r="A94" s="1"/>
      <c r="B94" s="1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62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23" customHeight="1">
      <c r="A95" s="1"/>
      <c r="B95" s="1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62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23" customHeight="1">
      <c r="A96" s="1"/>
      <c r="B96" s="1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62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23" customHeight="1">
      <c r="A97" s="1"/>
      <c r="B97" s="1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62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23" customHeight="1">
      <c r="A98" s="1"/>
      <c r="B98" s="1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62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23" customHeight="1">
      <c r="A99" s="1"/>
      <c r="B99" s="1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62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23" customHeight="1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62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23" customHeight="1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62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23" customHeight="1">
      <c r="A102" s="1"/>
      <c r="B102" s="1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62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23" customHeight="1">
      <c r="A103" s="1"/>
      <c r="B103" s="1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62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23" customHeight="1">
      <c r="A104" s="1"/>
      <c r="B104" s="1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62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23" customHeight="1">
      <c r="A105" s="1"/>
      <c r="B105" s="1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62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23" customHeight="1">
      <c r="A106" s="1"/>
      <c r="B106" s="1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62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23" customHeight="1">
      <c r="A107" s="1"/>
      <c r="B107" s="1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62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ht="23" customHeight="1">
      <c r="A108" s="1"/>
      <c r="B108" s="1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62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ht="23" customHeight="1">
      <c r="A109" s="1"/>
      <c r="B109" s="1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62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ht="23" customHeight="1">
      <c r="A110" s="1"/>
      <c r="B110" s="1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62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ht="23" customHeight="1">
      <c r="A111" s="1"/>
      <c r="B111" s="1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62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</sheetData>
  <mergeCells count="7">
    <mergeCell ref="A2:I2"/>
    <mergeCell ref="L13:Q13"/>
    <mergeCell ref="S13:T13"/>
    <mergeCell ref="U13:V13"/>
    <mergeCell ref="D13:K13"/>
    <mergeCell ref="B4:C4"/>
    <mergeCell ref="B5:C5"/>
  </mergeCells>
  <conditionalFormatting sqref="P15:Q54">
    <cfRule type="containsText" dxfId="3" priority="1" operator="containsText" text="Under interval"/>
    <cfRule type="containsText" dxfId="2" priority="2" operator="containsText" text="Over interval"/>
    <cfRule type="containsText" dxfId="1" priority="3" operator="containsText" text="Inden for interval"/>
  </conditionalFormatting>
  <dataValidations count="3">
    <dataValidation type="decimal" operator="greaterThanOrEqual" sqref="D15:F54" xr:uid="{00000000-0002-0000-0100-000000000000}">
      <formula1>0</formula1>
    </dataValidation>
    <dataValidation type="decimal" operator="greaterThan" sqref="G15:J54" xr:uid="{00000000-0002-0000-0100-000001000000}">
      <formula1>0</formula1>
    </dataValidation>
    <dataValidation type="whole" sqref="B6:B7" xr:uid="{00000000-0002-0000-0100-000002000000}">
      <formula1>60</formula1>
      <formula2>240</formula2>
    </dataValidation>
  </dataValidations>
  <pageMargins left="0.7" right="0.7" top="0.75" bottom="0.75" header="0.3" footer="0.3"/>
  <pageSetup paperSize="9" scale="47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8563D"/>
    <pageSetUpPr fitToPage="1"/>
  </sheetPr>
  <dimension ref="A1:AP107"/>
  <sheetViews>
    <sheetView showGridLines="0" showRowColHeaders="0" zoomScaleNormal="100" workbookViewId="0">
      <pane ySplit="13" topLeftCell="A14" activePane="bottomLeft" state="frozen"/>
      <selection pane="bottomLeft" activeCell="B5" sqref="B5"/>
    </sheetView>
  </sheetViews>
  <sheetFormatPr defaultColWidth="8.83203125" defaultRowHeight="14"/>
  <cols>
    <col min="1" max="1" width="21" customWidth="1"/>
    <col min="2" max="7" width="15" customWidth="1"/>
    <col min="8" max="8" width="25" customWidth="1"/>
    <col min="9" max="42" width="13" customWidth="1"/>
  </cols>
  <sheetData>
    <row r="1" spans="1:42" ht="8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2.5">
      <c r="A2" s="234" t="s">
        <v>68</v>
      </c>
      <c r="B2" s="234"/>
      <c r="C2" s="234"/>
      <c r="D2" s="234"/>
      <c r="E2" s="234"/>
      <c r="F2" s="23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s="5" customFormat="1" ht="17.5">
      <c r="A3" s="4" t="s">
        <v>210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5" customFormat="1" ht="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s="5" customFormat="1" ht="21" customHeight="1">
      <c r="A5" s="45" t="s">
        <v>1</v>
      </c>
      <c r="B5" s="46" t="str">
        <f>IF(Beregninger!B2=0,"Ingen data",Beregninger!B2)</f>
        <v>Ingen data</v>
      </c>
      <c r="C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5" customFormat="1" ht="34" customHeight="1">
      <c r="A7" s="48" t="s">
        <v>65</v>
      </c>
      <c r="B7" s="4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"/>
      <c r="J7" s="245" t="s">
        <v>10</v>
      </c>
      <c r="K7" s="24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s="5" customFormat="1" ht="19" customHeight="1">
      <c r="A8" s="14" t="str">
        <f>Beregninger!A5</f>
        <v>BASE</v>
      </c>
      <c r="B8" s="15">
        <f>Beregninger!B5</f>
        <v>46272</v>
      </c>
      <c r="C8" s="15">
        <f>Beregninger!C5</f>
        <v>46387</v>
      </c>
      <c r="D8" s="25" t="str">
        <f>Beregninger!D5&amp;"–"&amp;Beregninger!E5</f>
        <v>3–5</v>
      </c>
      <c r="E8" s="13" t="str">
        <f>IF(Beregninger!$B$2&lt;B8,"",SUMPRODUCT(Beregninger!D12:D51,Beregninger!AJ12:AJ51))</f>
        <v/>
      </c>
      <c r="F8" s="16">
        <f>MAX(0,MIN(Beregninger!$B$2,C8)-B8+1)*Beregninger!D5/7</f>
        <v>0</v>
      </c>
      <c r="G8" s="16">
        <f>MAX(0,MIN(Beregninger!$B$2,C8)-B8+1)*Beregninger!E5/7</f>
        <v>0</v>
      </c>
      <c r="H8" s="28" t="str">
        <f>IF(Beregninger!$B$2&lt;B8,"Ingen data",IF(SUMPRODUCT(Beregninger!D12:D51,Beregninger!U12:U51)&gt;0,"Mangler uger",IF(E8&lt;F8,"Under interval",IF(E8&gt;G8,"Over interval","Inden for interval"))))</f>
        <v>Ingen data</v>
      </c>
      <c r="I8" s="4"/>
      <c r="J8" s="7" t="s">
        <v>11</v>
      </c>
      <c r="K8" s="8" t="str">
        <f>IF(COUNT(Ugeindtastning!E15:E54)=0,"",SUM(Ugeindtastning!E15:E54))</f>
        <v/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5" customFormat="1" ht="19" customHeight="1">
      <c r="A9" s="17" t="str">
        <f>Beregninger!A6</f>
        <v>OPBYGNING</v>
      </c>
      <c r="B9" s="18">
        <f>Beregninger!B6</f>
        <v>46388</v>
      </c>
      <c r="C9" s="18">
        <f>Beregninger!C6</f>
        <v>46477</v>
      </c>
      <c r="D9" s="26" t="str">
        <f>Beregninger!D6&amp;"–"&amp;Beregninger!E6</f>
        <v>5–7</v>
      </c>
      <c r="E9" s="19" t="str">
        <f>IF(Beregninger!$B$2&lt;B9,"",SUMPRODUCT(Beregninger!E12:E51,Beregninger!AJ12:AJ51))</f>
        <v/>
      </c>
      <c r="F9" s="20">
        <f>MAX(0,MIN(Beregninger!$B$2,C9)-B9+1)*Beregninger!D6/7</f>
        <v>0</v>
      </c>
      <c r="G9" s="20">
        <f>MAX(0,MIN(Beregninger!$B$2,C9)-B9+1)*Beregninger!E6/7</f>
        <v>0</v>
      </c>
      <c r="H9" s="29" t="str">
        <f>IF(Beregninger!$B$2&lt;B9,"Ingen data",IF(SUMPRODUCT(Beregninger!E12:E51,Beregninger!U12:U51)&gt;0,"Mangler uger",IF(E9&lt;F9,"Under interval",IF(E9&gt;G9,"Over interval","Inden for interval"))))</f>
        <v>Ingen data</v>
      </c>
      <c r="I9" s="4"/>
      <c r="J9" s="9" t="s">
        <v>12</v>
      </c>
      <c r="K9" s="10" t="str">
        <f>IF(COUNT(Ugeindtastning!F15:F54)=0,"",SUM(Ugeindtastning!F15:F54))</f>
        <v/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s="5" customFormat="1" ht="19" customHeight="1">
      <c r="A10" s="21" t="str">
        <f>Beregninger!A7</f>
        <v>FORBEREDELSE</v>
      </c>
      <c r="B10" s="22">
        <f>Beregninger!B7</f>
        <v>46478</v>
      </c>
      <c r="C10" s="22">
        <f>Beregninger!C7</f>
        <v>46546</v>
      </c>
      <c r="D10" s="27" t="str">
        <f>Beregninger!D7&amp;"–"&amp;Beregninger!E7</f>
        <v>7–9</v>
      </c>
      <c r="E10" s="23" t="str">
        <f>IF(Beregninger!$B$2&lt;B10,"",SUMPRODUCT(Beregninger!F12:F51,Beregninger!AJ12:AJ51))</f>
        <v/>
      </c>
      <c r="F10" s="24">
        <f>MAX(0,MIN(Beregninger!$B$2,C10)-B10+1)*Beregninger!D7/7</f>
        <v>0</v>
      </c>
      <c r="G10" s="24">
        <f>MAX(0,MIN(Beregninger!$B$2,C10)-B10+1)*Beregninger!E7/7</f>
        <v>0</v>
      </c>
      <c r="H10" s="30" t="str">
        <f>IF(Beregninger!$B$2&lt;B10,"Ingen data",IF(SUMPRODUCT(Beregninger!F12:F51,Beregninger!U12:U51)&gt;0,"Mangler uger",IF(E10&lt;F10,"Under interval",IF(E10&gt;G10,"Over interval","Inden for interval"))))</f>
        <v>Ingen data</v>
      </c>
      <c r="I10" s="4"/>
      <c r="J10" s="11" t="s">
        <v>13</v>
      </c>
      <c r="K10" s="12" t="str">
        <f>IF(COUNT(Ugeindtastning!D15:D54)=0,"",SUM(Ugeindtastning!D15:D54))</f>
        <v/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4" customHeight="1">
      <c r="A11" s="47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5" customFormat="1" ht="17" customHeight="1">
      <c r="A12" s="4" t="s">
        <v>66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4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ht="23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ht="23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3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3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ht="23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ht="23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23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23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23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23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23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23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23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23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ht="23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23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23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23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23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23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23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23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23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23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23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ht="23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ht="23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ht="23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ht="23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23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3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3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23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23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23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23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3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3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3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3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3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23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3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23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3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3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3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3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3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3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3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3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3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3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3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3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3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3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3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3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3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3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3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3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3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3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3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3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23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23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23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23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23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23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23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23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23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23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23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8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23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23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23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23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2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23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23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23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23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23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23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23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23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</sheetData>
  <mergeCells count="2">
    <mergeCell ref="J7:K7"/>
    <mergeCell ref="A2:F2"/>
  </mergeCells>
  <pageMargins left="0.7" right="0.7" top="0.75" bottom="0.75" header="0.3" footer="0.3"/>
  <pageSetup paperSize="9" scale="39" orientation="portrait" horizontalDpi="0" verticalDpi="0"/>
  <headerFooter>
    <oddHeader>&amp;C&amp;"Noe Display Regular,Normal"&amp;16&amp;K000000GOD FORNØJELSE MED TRÆNINGEN FREM MOD TOUR DE FRANCE-STIGNINGERNE TIL JUNI 2027</oddHeader>
    <oddFooter>&amp;L&amp;"Noe Display Semibold,Fed"&amp;10&amp;K000000CYKELNERVEN 2027&amp;C&amp;"Noe Display Semibold,Fed"&amp;10&amp;K000000TRÆNINGSMANAGER - MEDIO SEPTEMBER TIL PRIMO JUNI 2027&amp;R&amp;"Noe Display Semibold,Fed"&amp;10&amp;K000000ANBEFALINGER TIL TRÆNINGSINDSATS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861B-FEE8-A247-9D1D-E053055E47C8}">
  <dimension ref="A1:AP13"/>
  <sheetViews>
    <sheetView zoomScale="116" workbookViewId="0">
      <selection activeCell="B11" sqref="B11"/>
    </sheetView>
  </sheetViews>
  <sheetFormatPr defaultColWidth="10.6640625" defaultRowHeight="14"/>
  <cols>
    <col min="1" max="1" width="21.5" customWidth="1"/>
    <col min="2" max="4" width="19.5" customWidth="1"/>
  </cols>
  <sheetData>
    <row r="1" spans="1:42" ht="8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2.5">
      <c r="A2" s="234" t="s">
        <v>71</v>
      </c>
      <c r="B2" s="234"/>
      <c r="C2" s="234"/>
      <c r="D2" s="234"/>
      <c r="E2" s="234"/>
      <c r="F2" s="23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17.5">
      <c r="A3" t="s">
        <v>211</v>
      </c>
      <c r="B3" s="136">
        <f ca="1">TODAY()</f>
        <v>46297</v>
      </c>
    </row>
    <row r="5" spans="1:42" ht="17.5">
      <c r="A5" s="48" t="str">
        <f>Træningsoverblik!A7</f>
        <v>Træningsperiode</v>
      </c>
      <c r="B5" s="48" t="str">
        <f>Træningsoverblik!B7</f>
        <v>Fra</v>
      </c>
      <c r="C5" s="48" t="str">
        <f>Træningsoverblik!C7</f>
        <v>Til</v>
      </c>
      <c r="D5" s="48" t="str">
        <f>Træningsoverblik!D7</f>
        <v>Timer/uge</v>
      </c>
    </row>
    <row r="6" spans="1:42" ht="17.5">
      <c r="A6" s="14" t="str">
        <f>Træningsoverblik!A8</f>
        <v>BASE</v>
      </c>
      <c r="B6" s="15">
        <f>Træningsoverblik!B8</f>
        <v>46272</v>
      </c>
      <c r="C6" s="15">
        <f>Træningsoverblik!C8</f>
        <v>46387</v>
      </c>
      <c r="D6" s="25" t="str">
        <f>Træningsoverblik!D8</f>
        <v>3–5</v>
      </c>
    </row>
    <row r="7" spans="1:42" ht="17.5">
      <c r="A7" s="17" t="str">
        <f>Træningsoverblik!A9</f>
        <v>OPBYGNING</v>
      </c>
      <c r="B7" s="18">
        <f>Træningsoverblik!B9</f>
        <v>46388</v>
      </c>
      <c r="C7" s="18">
        <f>Træningsoverblik!C9</f>
        <v>46477</v>
      </c>
      <c r="D7" s="26" t="str">
        <f>Træningsoverblik!D9</f>
        <v>5–7</v>
      </c>
    </row>
    <row r="8" spans="1:42" ht="17.5">
      <c r="A8" s="21" t="str">
        <f>Træningsoverblik!A10</f>
        <v>FORBEREDELSE</v>
      </c>
      <c r="B8" s="22">
        <f>Træningsoverblik!B10</f>
        <v>46478</v>
      </c>
      <c r="C8" s="22">
        <f>Træningsoverblik!C10</f>
        <v>46546</v>
      </c>
      <c r="D8" s="27" t="str">
        <f>Træningsoverblik!D10</f>
        <v>7–9</v>
      </c>
    </row>
    <row r="10" spans="1:42" ht="17.5">
      <c r="A10" s="48" t="s">
        <v>212</v>
      </c>
      <c r="B10" s="48">
        <f>Træningsoverblik!B12</f>
        <v>0</v>
      </c>
      <c r="C10" s="48">
        <f>Træningsoverblik!C12</f>
        <v>0</v>
      </c>
      <c r="D10" s="48">
        <f>Træningsoverblik!D12</f>
        <v>0</v>
      </c>
    </row>
    <row r="11" spans="1:42" ht="29" customHeight="1">
      <c r="A11" s="43" t="str">
        <f>A6</f>
        <v>BASE</v>
      </c>
      <c r="B11" s="18"/>
      <c r="C11" s="18"/>
      <c r="D11" s="26"/>
    </row>
    <row r="12" spans="1:42" ht="29" customHeight="1">
      <c r="A12" s="43" t="str">
        <f>A7</f>
        <v>OPBYGNING</v>
      </c>
      <c r="B12" s="18"/>
      <c r="C12" s="18"/>
      <c r="D12" s="26"/>
    </row>
    <row r="13" spans="1:42" ht="29" customHeight="1">
      <c r="A13" s="43" t="str">
        <f>A8</f>
        <v>FORBEREDELSE</v>
      </c>
      <c r="B13" s="18"/>
      <c r="C13" s="18"/>
      <c r="D13" s="26"/>
    </row>
  </sheetData>
  <mergeCells count="1">
    <mergeCell ref="A2:F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2A81-DF6B-5940-A3A3-AD961D8A3EC0}">
  <sheetPr>
    <pageSetUpPr fitToPage="1"/>
  </sheetPr>
  <dimension ref="A1:U99"/>
  <sheetViews>
    <sheetView showGridLines="0" showRowColHeaders="0" zoomScale="125" zoomScaleNormal="105" workbookViewId="0">
      <pane ySplit="4" topLeftCell="A5" activePane="bottomLeft" state="frozen"/>
      <selection pane="bottomLeft" activeCell="A4" sqref="A4"/>
    </sheetView>
  </sheetViews>
  <sheetFormatPr defaultColWidth="8.83203125" defaultRowHeight="14"/>
  <cols>
    <col min="1" max="10" width="13" customWidth="1"/>
    <col min="11" max="11" width="13" hidden="1" customWidth="1"/>
    <col min="12" max="12" width="13" customWidth="1"/>
    <col min="13" max="14" width="24" customWidth="1"/>
    <col min="15" max="15" width="15.83203125" customWidth="1"/>
    <col min="16" max="21" width="13" customWidth="1"/>
  </cols>
  <sheetData>
    <row r="1" spans="1:21" ht="24" customHeight="1">
      <c r="A1" s="103" t="s">
        <v>277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s="5" customFormat="1" ht="24" customHeight="1">
      <c r="A2" s="65" t="s">
        <v>98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s="5" customFormat="1" ht="24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1" s="108" customFormat="1" ht="36" customHeight="1">
      <c r="A4" s="104" t="s">
        <v>99</v>
      </c>
      <c r="B4" s="105" t="s">
        <v>100</v>
      </c>
      <c r="C4" s="105" t="s">
        <v>101</v>
      </c>
      <c r="D4" s="105" t="s">
        <v>102</v>
      </c>
      <c r="E4" s="106" t="s">
        <v>103</v>
      </c>
      <c r="F4" s="105" t="s">
        <v>104</v>
      </c>
      <c r="G4" s="105" t="s">
        <v>105</v>
      </c>
      <c r="H4" s="105" t="s">
        <v>106</v>
      </c>
      <c r="I4" s="106" t="s">
        <v>107</v>
      </c>
      <c r="J4" s="105" t="s">
        <v>108</v>
      </c>
      <c r="K4" s="105" t="s">
        <v>109</v>
      </c>
      <c r="L4" s="107" t="s">
        <v>110</v>
      </c>
      <c r="N4" s="109" t="s">
        <v>111</v>
      </c>
      <c r="O4" s="110"/>
      <c r="P4" s="110"/>
      <c r="Q4" s="110"/>
      <c r="R4" s="110"/>
      <c r="S4" s="110"/>
      <c r="T4" s="110"/>
      <c r="U4" s="110"/>
    </row>
    <row r="5" spans="1:21" s="5" customFormat="1" ht="24" customHeight="1">
      <c r="A5" s="65">
        <v>1</v>
      </c>
      <c r="B5" s="111">
        <v>24.04</v>
      </c>
      <c r="C5" s="111">
        <v>11.5</v>
      </c>
      <c r="D5" s="111">
        <v>7.6</v>
      </c>
      <c r="E5" s="112">
        <v>6.4</v>
      </c>
      <c r="F5" s="111">
        <v>19.420000000000002</v>
      </c>
      <c r="G5" s="111">
        <v>9.2899999999999991</v>
      </c>
      <c r="H5" s="111">
        <v>6.61</v>
      </c>
      <c r="I5" s="112">
        <v>5.69</v>
      </c>
      <c r="J5" s="111">
        <f>IF('Ekstra - Udfyld din profil'!$C$5="Mænd",E5,IF('Ekstra - Udfyld din profil'!$C$5="Kvinder",I5,""))</f>
        <v>6.4</v>
      </c>
      <c r="K5" s="111">
        <f>IF(AND(ISNUMBER('Ekstra - Udfyld din profil'!$G$5),ISNUMBER(J5)),ABS(J5-'Ekstra - Udfyld din profil'!$G$5),"")</f>
        <v>3.9000000000000004</v>
      </c>
      <c r="L5" s="246" t="s">
        <v>112</v>
      </c>
      <c r="N5" s="113" t="s">
        <v>113</v>
      </c>
      <c r="O5" s="114" t="s">
        <v>114</v>
      </c>
      <c r="P5" s="65"/>
      <c r="Q5" s="65"/>
      <c r="R5" s="65"/>
      <c r="S5" s="65"/>
      <c r="T5" s="65"/>
      <c r="U5" s="65"/>
    </row>
    <row r="6" spans="1:21" s="5" customFormat="1" ht="24" customHeight="1">
      <c r="A6" s="65">
        <v>2</v>
      </c>
      <c r="B6" s="111">
        <v>23.77</v>
      </c>
      <c r="C6" s="111">
        <v>11.39</v>
      </c>
      <c r="D6" s="111">
        <v>7.5</v>
      </c>
      <c r="E6" s="112">
        <v>6.31</v>
      </c>
      <c r="F6" s="111">
        <v>19.2</v>
      </c>
      <c r="G6" s="111">
        <v>9.1999999999999993</v>
      </c>
      <c r="H6" s="111">
        <v>6.52</v>
      </c>
      <c r="I6" s="112">
        <v>5.61</v>
      </c>
      <c r="J6" s="111">
        <f>IF('Ekstra - Udfyld din profil'!$C$5="Mænd",E6,IF('Ekstra - Udfyld din profil'!$C$5="Kvinder",I6,""))</f>
        <v>6.31</v>
      </c>
      <c r="K6" s="111">
        <f>IF(AND(ISNUMBER('Ekstra - Udfyld din profil'!$G$5),ISNUMBER(J6)),ABS(J6-'Ekstra - Udfyld din profil'!$G$5),"")</f>
        <v>3.8099999999999996</v>
      </c>
      <c r="L6" s="246"/>
      <c r="N6" s="115" t="s">
        <v>115</v>
      </c>
      <c r="O6" s="116" t="s">
        <v>116</v>
      </c>
      <c r="P6" s="65"/>
      <c r="Q6" s="65"/>
      <c r="R6" s="65"/>
      <c r="S6" s="65"/>
      <c r="T6" s="65"/>
      <c r="U6" s="65"/>
    </row>
    <row r="7" spans="1:21" s="5" customFormat="1" ht="24" customHeight="1">
      <c r="A7" s="65">
        <v>3</v>
      </c>
      <c r="B7" s="111">
        <v>23.5</v>
      </c>
      <c r="C7" s="111">
        <v>11.27</v>
      </c>
      <c r="D7" s="111">
        <v>7.39</v>
      </c>
      <c r="E7" s="112">
        <v>6.22</v>
      </c>
      <c r="F7" s="111">
        <v>18.989999999999998</v>
      </c>
      <c r="G7" s="111">
        <v>9.11</v>
      </c>
      <c r="H7" s="111">
        <v>6.42</v>
      </c>
      <c r="I7" s="112">
        <v>5.53</v>
      </c>
      <c r="J7" s="111">
        <f>IF('Ekstra - Udfyld din profil'!$C$5="Mænd",E7,IF('Ekstra - Udfyld din profil'!$C$5="Kvinder",I7,""))</f>
        <v>6.22</v>
      </c>
      <c r="K7" s="111">
        <f>IF(AND(ISNUMBER('Ekstra - Udfyld din profil'!$G$5),ISNUMBER(J7)),ABS(J7-'Ekstra - Udfyld din profil'!$G$5),"")</f>
        <v>3.7199999999999998</v>
      </c>
      <c r="L7" s="246"/>
      <c r="N7" s="115" t="s">
        <v>117</v>
      </c>
      <c r="O7" s="116" t="s">
        <v>118</v>
      </c>
      <c r="P7" s="65"/>
      <c r="Q7" s="65"/>
      <c r="R7" s="65"/>
      <c r="S7" s="65"/>
      <c r="T7" s="65"/>
      <c r="U7" s="65"/>
    </row>
    <row r="8" spans="1:21" s="5" customFormat="1" ht="24" customHeight="1">
      <c r="A8" s="65">
        <v>4</v>
      </c>
      <c r="B8" s="111">
        <v>23.22</v>
      </c>
      <c r="C8" s="111">
        <v>11.16</v>
      </c>
      <c r="D8" s="111">
        <v>7.29</v>
      </c>
      <c r="E8" s="112">
        <v>6.13</v>
      </c>
      <c r="F8" s="111">
        <v>18.77</v>
      </c>
      <c r="G8" s="111">
        <v>9.02</v>
      </c>
      <c r="H8" s="111">
        <v>6.33</v>
      </c>
      <c r="I8" s="112">
        <v>5.44</v>
      </c>
      <c r="J8" s="111">
        <f>IF('Ekstra - Udfyld din profil'!$C$5="Mænd",E8,IF('Ekstra - Udfyld din profil'!$C$5="Kvinder",I8,""))</f>
        <v>6.13</v>
      </c>
      <c r="K8" s="111">
        <f>IF(AND(ISNUMBER('Ekstra - Udfyld din profil'!$G$5),ISNUMBER(J8)),ABS(J8-'Ekstra - Udfyld din profil'!$G$5),"")</f>
        <v>3.63</v>
      </c>
      <c r="L8" s="246"/>
      <c r="N8" s="115" t="s">
        <v>119</v>
      </c>
      <c r="O8" s="116" t="s">
        <v>120</v>
      </c>
      <c r="P8" s="65"/>
      <c r="Q8" s="65"/>
      <c r="R8" s="65"/>
      <c r="S8" s="65"/>
      <c r="T8" s="65"/>
      <c r="U8" s="65"/>
    </row>
    <row r="9" spans="1:21" s="5" customFormat="1" ht="24" customHeight="1">
      <c r="A9" s="65">
        <v>5</v>
      </c>
      <c r="B9" s="111">
        <v>22.95</v>
      </c>
      <c r="C9" s="111">
        <v>11.04</v>
      </c>
      <c r="D9" s="111">
        <v>7.19</v>
      </c>
      <c r="E9" s="112">
        <v>6.04</v>
      </c>
      <c r="F9" s="111">
        <v>18.559999999999999</v>
      </c>
      <c r="G9" s="111">
        <v>8.93</v>
      </c>
      <c r="H9" s="111">
        <v>6.24</v>
      </c>
      <c r="I9" s="112">
        <v>5.36</v>
      </c>
      <c r="J9" s="111">
        <f>IF('Ekstra - Udfyld din profil'!$C$5="Mænd",E9,IF('Ekstra - Udfyld din profil'!$C$5="Kvinder",I9,""))</f>
        <v>6.04</v>
      </c>
      <c r="K9" s="111">
        <f>IF(AND(ISNUMBER('Ekstra - Udfyld din profil'!$G$5),ISNUMBER(J9)),ABS(J9-'Ekstra - Udfyld din profil'!$G$5),"")</f>
        <v>3.54</v>
      </c>
      <c r="L9" s="246"/>
      <c r="N9" s="115" t="s">
        <v>121</v>
      </c>
      <c r="O9" s="116" t="s">
        <v>122</v>
      </c>
      <c r="P9" s="65"/>
      <c r="Q9" s="65"/>
      <c r="R9" s="65"/>
      <c r="S9" s="65"/>
      <c r="T9" s="65"/>
      <c r="U9" s="65"/>
    </row>
    <row r="10" spans="1:21" s="5" customFormat="1" ht="24" customHeight="1">
      <c r="A10" s="65">
        <v>6</v>
      </c>
      <c r="B10" s="111">
        <v>22.68</v>
      </c>
      <c r="C10" s="111">
        <v>10.93</v>
      </c>
      <c r="D10" s="111">
        <v>7.08</v>
      </c>
      <c r="E10" s="112">
        <v>5.96</v>
      </c>
      <c r="F10" s="111">
        <v>18.34</v>
      </c>
      <c r="G10" s="111">
        <v>8.84</v>
      </c>
      <c r="H10" s="111">
        <v>6.15</v>
      </c>
      <c r="I10" s="112">
        <v>5.28</v>
      </c>
      <c r="J10" s="111">
        <f>IF('Ekstra - Udfyld din profil'!$C$5="Mænd",E10,IF('Ekstra - Udfyld din profil'!$C$5="Kvinder",I10,""))</f>
        <v>5.96</v>
      </c>
      <c r="K10" s="111">
        <f>IF(AND(ISNUMBER('Ekstra - Udfyld din profil'!$G$5),ISNUMBER(J10)),ABS(J10-'Ekstra - Udfyld din profil'!$G$5),"")</f>
        <v>3.46</v>
      </c>
      <c r="L10" s="246"/>
      <c r="N10" s="115" t="s">
        <v>123</v>
      </c>
      <c r="O10" s="116" t="s">
        <v>124</v>
      </c>
      <c r="P10" s="65"/>
      <c r="Q10" s="65"/>
      <c r="R10" s="65"/>
      <c r="S10" s="65"/>
      <c r="T10" s="65"/>
      <c r="U10" s="65"/>
    </row>
    <row r="11" spans="1:21" s="5" customFormat="1" ht="24" customHeight="1">
      <c r="A11" s="117">
        <v>7</v>
      </c>
      <c r="B11" s="118">
        <v>22.41</v>
      </c>
      <c r="C11" s="118">
        <v>10.81</v>
      </c>
      <c r="D11" s="118">
        <v>6.98</v>
      </c>
      <c r="E11" s="119">
        <v>5.87</v>
      </c>
      <c r="F11" s="118">
        <v>18.13</v>
      </c>
      <c r="G11" s="118">
        <v>8.75</v>
      </c>
      <c r="H11" s="118">
        <v>6.05</v>
      </c>
      <c r="I11" s="119">
        <v>5.2</v>
      </c>
      <c r="J11" s="118">
        <f>IF('Ekstra - Udfyld din profil'!$C$5="Mænd",E11,IF('Ekstra - Udfyld din profil'!$C$5="Kvinder",I11,""))</f>
        <v>5.87</v>
      </c>
      <c r="K11" s="118">
        <f>IF(AND(ISNUMBER('Ekstra - Udfyld din profil'!$G$5),ISNUMBER(J11)),ABS(J11-'Ekstra - Udfyld din profil'!$G$5),"")</f>
        <v>3.37</v>
      </c>
      <c r="L11" s="247"/>
      <c r="N11" s="115" t="s">
        <v>125</v>
      </c>
      <c r="O11" s="116" t="s">
        <v>126</v>
      </c>
      <c r="P11" s="65"/>
      <c r="Q11" s="65"/>
      <c r="R11" s="65"/>
      <c r="S11" s="65"/>
      <c r="T11" s="65"/>
      <c r="U11" s="65"/>
    </row>
    <row r="12" spans="1:21" s="5" customFormat="1" ht="24" customHeight="1">
      <c r="A12" s="65">
        <v>8</v>
      </c>
      <c r="B12" s="111">
        <v>22.14</v>
      </c>
      <c r="C12" s="111">
        <v>10.7</v>
      </c>
      <c r="D12" s="111">
        <v>6.88</v>
      </c>
      <c r="E12" s="112">
        <v>5.78</v>
      </c>
      <c r="F12" s="111">
        <v>17.91</v>
      </c>
      <c r="G12" s="111">
        <v>8.66</v>
      </c>
      <c r="H12" s="111">
        <v>5.96</v>
      </c>
      <c r="I12" s="112">
        <v>5.12</v>
      </c>
      <c r="J12" s="111">
        <f>IF('Ekstra - Udfyld din profil'!$C$5="Mænd",E12,IF('Ekstra - Udfyld din profil'!$C$5="Kvinder",I12,""))</f>
        <v>5.78</v>
      </c>
      <c r="K12" s="111">
        <f>IF(AND(ISNUMBER('Ekstra - Udfyld din profil'!$G$5),ISNUMBER(J12)),ABS(J12-'Ekstra - Udfyld din profil'!$G$5),"")</f>
        <v>3.2800000000000002</v>
      </c>
      <c r="L12" s="246" t="s">
        <v>127</v>
      </c>
      <c r="N12" s="120" t="s">
        <v>128</v>
      </c>
      <c r="O12" s="121" t="s">
        <v>129</v>
      </c>
      <c r="P12" s="65"/>
      <c r="Q12" s="65"/>
      <c r="R12" s="65"/>
      <c r="S12" s="65"/>
      <c r="T12" s="65"/>
      <c r="U12" s="65"/>
    </row>
    <row r="13" spans="1:21" s="5" customFormat="1" ht="24" customHeight="1">
      <c r="A13" s="65">
        <v>9</v>
      </c>
      <c r="B13" s="111">
        <v>21.86</v>
      </c>
      <c r="C13" s="111">
        <v>10.58</v>
      </c>
      <c r="D13" s="111">
        <v>6.77</v>
      </c>
      <c r="E13" s="112">
        <v>5.69</v>
      </c>
      <c r="F13" s="111">
        <v>17.7</v>
      </c>
      <c r="G13" s="111">
        <v>8.56</v>
      </c>
      <c r="H13" s="111">
        <v>5.87</v>
      </c>
      <c r="I13" s="112">
        <v>5.03</v>
      </c>
      <c r="J13" s="111">
        <f>IF('Ekstra - Udfyld din profil'!$C$5="Mænd",E13,IF('Ekstra - Udfyld din profil'!$C$5="Kvinder",I13,""))</f>
        <v>5.69</v>
      </c>
      <c r="K13" s="111">
        <f>IF(AND(ISNUMBER('Ekstra - Udfyld din profil'!$G$5),ISNUMBER(J13)),ABS(J13-'Ekstra - Udfyld din profil'!$G$5),"")</f>
        <v>3.1900000000000004</v>
      </c>
      <c r="L13" s="246"/>
      <c r="M13" s="65"/>
      <c r="N13" s="65"/>
      <c r="O13" s="65"/>
      <c r="P13" s="65"/>
      <c r="Q13" s="65"/>
      <c r="R13" s="65"/>
      <c r="S13" s="65"/>
      <c r="T13" s="65"/>
      <c r="U13" s="65"/>
    </row>
    <row r="14" spans="1:21" s="5" customFormat="1" ht="24" customHeight="1">
      <c r="A14" s="65">
        <v>10</v>
      </c>
      <c r="B14" s="111">
        <v>21.59</v>
      </c>
      <c r="C14" s="111">
        <v>10.47</v>
      </c>
      <c r="D14" s="111">
        <v>6.67</v>
      </c>
      <c r="E14" s="112">
        <v>5.6</v>
      </c>
      <c r="F14" s="111">
        <v>17.48</v>
      </c>
      <c r="G14" s="111">
        <v>8.4700000000000006</v>
      </c>
      <c r="H14" s="111">
        <v>5.78</v>
      </c>
      <c r="I14" s="112">
        <v>4.95</v>
      </c>
      <c r="J14" s="111">
        <f>IF('Ekstra - Udfyld din profil'!$C$5="Mænd",E14,IF('Ekstra - Udfyld din profil'!$C$5="Kvinder",I14,""))</f>
        <v>5.6</v>
      </c>
      <c r="K14" s="111">
        <f>IF(AND(ISNUMBER('Ekstra - Udfyld din profil'!$G$5),ISNUMBER(J14)),ABS(J14-'Ekstra - Udfyld din profil'!$G$5),"")</f>
        <v>3.0999999999999996</v>
      </c>
      <c r="L14" s="246"/>
      <c r="N14" s="65"/>
      <c r="O14" s="65"/>
      <c r="P14" s="65"/>
      <c r="Q14" s="65"/>
      <c r="R14" s="65"/>
      <c r="S14" s="65"/>
      <c r="T14" s="65"/>
      <c r="U14" s="65"/>
    </row>
    <row r="15" spans="1:21" s="5" customFormat="1" ht="24" customHeight="1">
      <c r="A15" s="65">
        <v>11</v>
      </c>
      <c r="B15" s="111">
        <v>21.32</v>
      </c>
      <c r="C15" s="111">
        <v>10.35</v>
      </c>
      <c r="D15" s="111">
        <v>6.57</v>
      </c>
      <c r="E15" s="112">
        <v>5.51</v>
      </c>
      <c r="F15" s="111">
        <v>17.260000000000002</v>
      </c>
      <c r="G15" s="111">
        <v>8.3800000000000008</v>
      </c>
      <c r="H15" s="111">
        <v>5.68</v>
      </c>
      <c r="I15" s="112">
        <v>4.87</v>
      </c>
      <c r="J15" s="111">
        <f>IF('Ekstra - Udfyld din profil'!$C$5="Mænd",E15,IF('Ekstra - Udfyld din profil'!$C$5="Kvinder",I15,""))</f>
        <v>5.51</v>
      </c>
      <c r="K15" s="111">
        <f>IF(AND(ISNUMBER('Ekstra - Udfyld din profil'!$G$5),ISNUMBER(J15)),ABS(J15-'Ekstra - Udfyld din profil'!$G$5),"")</f>
        <v>3.01</v>
      </c>
      <c r="L15" s="246"/>
      <c r="M15" s="65"/>
      <c r="N15" s="122" t="s">
        <v>130</v>
      </c>
      <c r="O15" s="65"/>
      <c r="P15" s="65"/>
      <c r="Q15" s="65"/>
      <c r="R15" s="65"/>
      <c r="S15" s="65"/>
      <c r="T15" s="65"/>
      <c r="U15" s="65"/>
    </row>
    <row r="16" spans="1:21" s="5" customFormat="1" ht="24" customHeight="1">
      <c r="A16" s="65">
        <v>12</v>
      </c>
      <c r="B16" s="111">
        <v>21.05</v>
      </c>
      <c r="C16" s="111">
        <v>10.24</v>
      </c>
      <c r="D16" s="111">
        <v>6.46</v>
      </c>
      <c r="E16" s="112">
        <v>5.42</v>
      </c>
      <c r="F16" s="111">
        <v>17.05</v>
      </c>
      <c r="G16" s="111">
        <v>8.2899999999999991</v>
      </c>
      <c r="H16" s="111">
        <v>5.59</v>
      </c>
      <c r="I16" s="112">
        <v>4.79</v>
      </c>
      <c r="J16" s="111">
        <f>IF('Ekstra - Udfyld din profil'!$C$5="Mænd",E16,IF('Ekstra - Udfyld din profil'!$C$5="Kvinder",I16,""))</f>
        <v>5.42</v>
      </c>
      <c r="K16" s="111">
        <f>IF(AND(ISNUMBER('Ekstra - Udfyld din profil'!$G$5),ISNUMBER(J16)),ABS(J16-'Ekstra - Udfyld din profil'!$G$5),"")</f>
        <v>2.92</v>
      </c>
      <c r="L16" s="246"/>
      <c r="M16" s="65"/>
      <c r="N16" s="65"/>
      <c r="O16" s="65"/>
      <c r="P16" s="65"/>
      <c r="Q16" s="65"/>
      <c r="R16" s="65"/>
      <c r="S16" s="65"/>
      <c r="T16" s="65"/>
      <c r="U16" s="65"/>
    </row>
    <row r="17" spans="1:21" s="5" customFormat="1" ht="24" customHeight="1">
      <c r="A17" s="65">
        <v>13</v>
      </c>
      <c r="B17" s="111">
        <v>20.78</v>
      </c>
      <c r="C17" s="111">
        <v>10.119999999999999</v>
      </c>
      <c r="D17" s="111">
        <v>6.36</v>
      </c>
      <c r="E17" s="112">
        <v>5.33</v>
      </c>
      <c r="F17" s="111">
        <v>16.829999999999998</v>
      </c>
      <c r="G17" s="111">
        <v>8.1999999999999993</v>
      </c>
      <c r="H17" s="111">
        <v>5.5</v>
      </c>
      <c r="I17" s="112">
        <v>4.7</v>
      </c>
      <c r="J17" s="111">
        <f>IF('Ekstra - Udfyld din profil'!$C$5="Mænd",E17,IF('Ekstra - Udfyld din profil'!$C$5="Kvinder",I17,""))</f>
        <v>5.33</v>
      </c>
      <c r="K17" s="111">
        <f>IF(AND(ISNUMBER('Ekstra - Udfyld din profil'!$G$5),ISNUMBER(J17)),ABS(J17-'Ekstra - Udfyld din profil'!$G$5),"")</f>
        <v>2.83</v>
      </c>
      <c r="L17" s="246"/>
      <c r="M17" s="65"/>
      <c r="N17" s="65"/>
      <c r="O17" s="65"/>
      <c r="P17" s="65"/>
      <c r="Q17" s="65"/>
      <c r="R17" s="65"/>
      <c r="S17" s="65"/>
      <c r="T17" s="65"/>
      <c r="U17" s="65"/>
    </row>
    <row r="18" spans="1:21" s="5" customFormat="1" ht="24" customHeight="1">
      <c r="A18" s="117">
        <v>14</v>
      </c>
      <c r="B18" s="118">
        <v>20.51</v>
      </c>
      <c r="C18" s="118">
        <v>10.01</v>
      </c>
      <c r="D18" s="118">
        <v>6.26</v>
      </c>
      <c r="E18" s="119">
        <v>5.24</v>
      </c>
      <c r="F18" s="118">
        <v>16.62</v>
      </c>
      <c r="G18" s="118">
        <v>8.11</v>
      </c>
      <c r="H18" s="118">
        <v>5.41</v>
      </c>
      <c r="I18" s="119">
        <v>4.62</v>
      </c>
      <c r="J18" s="118">
        <f>IF('Ekstra - Udfyld din profil'!$C$5="Mænd",E18,IF('Ekstra - Udfyld din profil'!$C$5="Kvinder",I18,""))</f>
        <v>5.24</v>
      </c>
      <c r="K18" s="118">
        <f>IF(AND(ISNUMBER('Ekstra - Udfyld din profil'!$G$5),ISNUMBER(J18)),ABS(J18-'Ekstra - Udfyld din profil'!$G$5),"")</f>
        <v>2.74</v>
      </c>
      <c r="L18" s="247"/>
      <c r="M18" s="65"/>
      <c r="N18" s="65"/>
      <c r="O18" s="65"/>
      <c r="P18" s="65"/>
      <c r="Q18" s="65"/>
      <c r="R18" s="65"/>
      <c r="S18" s="65"/>
      <c r="T18" s="65"/>
      <c r="U18" s="65"/>
    </row>
    <row r="19" spans="1:21" s="5" customFormat="1" ht="24" customHeight="1">
      <c r="A19" s="65">
        <v>15</v>
      </c>
      <c r="B19" s="111">
        <v>20.23</v>
      </c>
      <c r="C19" s="111">
        <v>9.89</v>
      </c>
      <c r="D19" s="111">
        <v>6.15</v>
      </c>
      <c r="E19" s="112">
        <v>5.15</v>
      </c>
      <c r="F19" s="111">
        <v>16.399999999999999</v>
      </c>
      <c r="G19" s="111">
        <v>8.02</v>
      </c>
      <c r="H19" s="111">
        <v>5.31</v>
      </c>
      <c r="I19" s="112">
        <v>4.54</v>
      </c>
      <c r="J19" s="111">
        <f>IF('Ekstra - Udfyld din profil'!$C$5="Mænd",E19,IF('Ekstra - Udfyld din profil'!$C$5="Kvinder",I19,""))</f>
        <v>5.15</v>
      </c>
      <c r="K19" s="111">
        <f>IF(AND(ISNUMBER('Ekstra - Udfyld din profil'!$G$5),ISNUMBER(J19)),ABS(J19-'Ekstra - Udfyld din profil'!$G$5),"")</f>
        <v>2.6500000000000004</v>
      </c>
      <c r="L19" s="248" t="s">
        <v>131</v>
      </c>
      <c r="M19" s="65"/>
      <c r="N19" s="65"/>
      <c r="O19" s="65"/>
      <c r="P19" s="65"/>
      <c r="Q19" s="65"/>
      <c r="R19" s="65"/>
      <c r="S19" s="65"/>
      <c r="T19" s="65"/>
      <c r="U19" s="65"/>
    </row>
    <row r="20" spans="1:21" s="5" customFormat="1" ht="24" customHeight="1">
      <c r="A20" s="65">
        <v>16</v>
      </c>
      <c r="B20" s="111">
        <v>19.96</v>
      </c>
      <c r="C20" s="111">
        <v>9.7799999999999994</v>
      </c>
      <c r="D20" s="111">
        <v>6.05</v>
      </c>
      <c r="E20" s="112">
        <v>5.07</v>
      </c>
      <c r="F20" s="111">
        <v>16.190000000000001</v>
      </c>
      <c r="G20" s="111">
        <v>7.93</v>
      </c>
      <c r="H20" s="111">
        <v>5.22</v>
      </c>
      <c r="I20" s="112">
        <v>4.46</v>
      </c>
      <c r="J20" s="111">
        <f>IF('Ekstra - Udfyld din profil'!$C$5="Mænd",E20,IF('Ekstra - Udfyld din profil'!$C$5="Kvinder",I20,""))</f>
        <v>5.07</v>
      </c>
      <c r="K20" s="111">
        <f>IF(AND(ISNUMBER('Ekstra - Udfyld din profil'!$G$5),ISNUMBER(J20)),ABS(J20-'Ekstra - Udfyld din profil'!$G$5),"")</f>
        <v>2.5700000000000003</v>
      </c>
      <c r="L20" s="246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5" customFormat="1" ht="24" customHeight="1">
      <c r="A21" s="65">
        <v>17</v>
      </c>
      <c r="B21" s="111">
        <v>19.690000000000001</v>
      </c>
      <c r="C21" s="111">
        <v>9.66</v>
      </c>
      <c r="D21" s="111">
        <v>5.95</v>
      </c>
      <c r="E21" s="112">
        <v>4.9800000000000004</v>
      </c>
      <c r="F21" s="111">
        <v>15.97</v>
      </c>
      <c r="G21" s="111">
        <v>7.84</v>
      </c>
      <c r="H21" s="111">
        <v>5.13</v>
      </c>
      <c r="I21" s="112">
        <v>4.38</v>
      </c>
      <c r="J21" s="111">
        <f>IF('Ekstra - Udfyld din profil'!$C$5="Mænd",E21,IF('Ekstra - Udfyld din profil'!$C$5="Kvinder",I21,""))</f>
        <v>4.9800000000000004</v>
      </c>
      <c r="K21" s="111">
        <f>IF(AND(ISNUMBER('Ekstra - Udfyld din profil'!$G$5),ISNUMBER(J21)),ABS(J21-'Ekstra - Udfyld din profil'!$G$5),"")</f>
        <v>2.4800000000000004</v>
      </c>
      <c r="L21" s="246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5" customFormat="1" ht="24" customHeight="1">
      <c r="A22" s="65">
        <v>18</v>
      </c>
      <c r="B22" s="111">
        <v>19.420000000000002</v>
      </c>
      <c r="C22" s="111">
        <v>9.5500000000000007</v>
      </c>
      <c r="D22" s="111">
        <v>5.84</v>
      </c>
      <c r="E22" s="112">
        <v>4.8899999999999997</v>
      </c>
      <c r="F22" s="111">
        <v>15.76</v>
      </c>
      <c r="G22" s="111">
        <v>7.75</v>
      </c>
      <c r="H22" s="111">
        <v>5.04</v>
      </c>
      <c r="I22" s="112">
        <v>4.29</v>
      </c>
      <c r="J22" s="111">
        <f>IF('Ekstra - Udfyld din profil'!$C$5="Mænd",E22,IF('Ekstra - Udfyld din profil'!$C$5="Kvinder",I22,""))</f>
        <v>4.8899999999999997</v>
      </c>
      <c r="K22" s="111">
        <f>IF(AND(ISNUMBER('Ekstra - Udfyld din profil'!$G$5),ISNUMBER(J22)),ABS(J22-'Ekstra - Udfyld din profil'!$G$5),"")</f>
        <v>2.3899999999999997</v>
      </c>
      <c r="L22" s="246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5" customFormat="1" ht="24" customHeight="1">
      <c r="A23" s="65">
        <v>19</v>
      </c>
      <c r="B23" s="111">
        <v>19.149999999999999</v>
      </c>
      <c r="C23" s="111">
        <v>9.43</v>
      </c>
      <c r="D23" s="111">
        <v>5.74</v>
      </c>
      <c r="E23" s="112">
        <v>4.8</v>
      </c>
      <c r="F23" s="111">
        <v>15.54</v>
      </c>
      <c r="G23" s="111">
        <v>7.66</v>
      </c>
      <c r="H23" s="111">
        <v>4.9400000000000004</v>
      </c>
      <c r="I23" s="112">
        <v>4.21</v>
      </c>
      <c r="J23" s="111">
        <f>IF('Ekstra - Udfyld din profil'!$C$5="Mænd",E23,IF('Ekstra - Udfyld din profil'!$C$5="Kvinder",I23,""))</f>
        <v>4.8</v>
      </c>
      <c r="K23" s="111">
        <f>IF(AND(ISNUMBER('Ekstra - Udfyld din profil'!$G$5),ISNUMBER(J23)),ABS(J23-'Ekstra - Udfyld din profil'!$G$5),"")</f>
        <v>2.2999999999999998</v>
      </c>
      <c r="L23" s="246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5" customFormat="1" ht="24" customHeight="1">
      <c r="A24" s="117">
        <v>20</v>
      </c>
      <c r="B24" s="118">
        <v>18.87</v>
      </c>
      <c r="C24" s="118">
        <v>9.32</v>
      </c>
      <c r="D24" s="118">
        <v>5.64</v>
      </c>
      <c r="E24" s="119">
        <v>4.71</v>
      </c>
      <c r="F24" s="118">
        <v>15.32</v>
      </c>
      <c r="G24" s="118">
        <v>7.57</v>
      </c>
      <c r="H24" s="118">
        <v>4.8499999999999996</v>
      </c>
      <c r="I24" s="119">
        <v>4.13</v>
      </c>
      <c r="J24" s="118">
        <f>IF('Ekstra - Udfyld din profil'!$C$5="Mænd",E24,IF('Ekstra - Udfyld din profil'!$C$5="Kvinder",I24,""))</f>
        <v>4.71</v>
      </c>
      <c r="K24" s="118">
        <f>IF(AND(ISNUMBER('Ekstra - Udfyld din profil'!$G$5),ISNUMBER(J24)),ABS(J24-'Ekstra - Udfyld din profil'!$G$5),"")</f>
        <v>2.21</v>
      </c>
      <c r="L24" s="249"/>
      <c r="M24" s="65"/>
      <c r="N24" s="65"/>
      <c r="O24" s="65"/>
      <c r="P24" s="65"/>
      <c r="Q24" s="65"/>
      <c r="R24" s="65"/>
      <c r="S24" s="65"/>
      <c r="T24" s="65"/>
      <c r="U24" s="65"/>
    </row>
    <row r="25" spans="1:21" s="5" customFormat="1" ht="24" customHeight="1">
      <c r="A25" s="65">
        <v>21</v>
      </c>
      <c r="B25" s="111">
        <v>18.600000000000001</v>
      </c>
      <c r="C25" s="111">
        <v>9.1999999999999993</v>
      </c>
      <c r="D25" s="111">
        <v>5.53</v>
      </c>
      <c r="E25" s="112">
        <v>4.62</v>
      </c>
      <c r="F25" s="111">
        <v>15.11</v>
      </c>
      <c r="G25" s="111">
        <v>7.48</v>
      </c>
      <c r="H25" s="111">
        <v>4.76</v>
      </c>
      <c r="I25" s="112">
        <v>4.05</v>
      </c>
      <c r="J25" s="111">
        <f>IF('Ekstra - Udfyld din profil'!$C$5="Mænd",E25,IF('Ekstra - Udfyld din profil'!$C$5="Kvinder",I25,""))</f>
        <v>4.62</v>
      </c>
      <c r="K25" s="111">
        <f>IF(AND(ISNUMBER('Ekstra - Udfyld din profil'!$G$5),ISNUMBER(J25)),ABS(J25-'Ekstra - Udfyld din profil'!$G$5),"")</f>
        <v>2.12</v>
      </c>
      <c r="L25" s="248" t="s">
        <v>132</v>
      </c>
      <c r="M25" s="65"/>
      <c r="N25" s="65"/>
      <c r="O25" s="65"/>
      <c r="P25" s="65"/>
      <c r="Q25" s="65"/>
      <c r="R25" s="65"/>
      <c r="S25" s="65"/>
      <c r="T25" s="65"/>
      <c r="U25" s="65"/>
    </row>
    <row r="26" spans="1:21" s="5" customFormat="1" ht="24" customHeight="1">
      <c r="A26" s="65">
        <v>22</v>
      </c>
      <c r="B26" s="111">
        <v>18.329999999999998</v>
      </c>
      <c r="C26" s="111">
        <v>9.09</v>
      </c>
      <c r="D26" s="111">
        <v>5.43</v>
      </c>
      <c r="E26" s="112">
        <v>4.53</v>
      </c>
      <c r="F26" s="111">
        <v>14.89</v>
      </c>
      <c r="G26" s="111">
        <v>7.39</v>
      </c>
      <c r="H26" s="111">
        <v>4.67</v>
      </c>
      <c r="I26" s="112">
        <v>3.97</v>
      </c>
      <c r="J26" s="111">
        <f>IF('Ekstra - Udfyld din profil'!$C$5="Mænd",E26,IF('Ekstra - Udfyld din profil'!$C$5="Kvinder",I26,""))</f>
        <v>4.53</v>
      </c>
      <c r="K26" s="111">
        <f>IF(AND(ISNUMBER('Ekstra - Udfyld din profil'!$G$5),ISNUMBER(J26)),ABS(J26-'Ekstra - Udfyld din profil'!$G$5),"")</f>
        <v>2.0300000000000002</v>
      </c>
      <c r="L26" s="246"/>
      <c r="M26" s="65"/>
      <c r="N26" s="65"/>
      <c r="O26" s="65"/>
      <c r="P26" s="65"/>
      <c r="Q26" s="65"/>
      <c r="R26" s="65"/>
      <c r="S26" s="65"/>
      <c r="T26" s="65"/>
      <c r="U26" s="65"/>
    </row>
    <row r="27" spans="1:21" s="5" customFormat="1" ht="24" customHeight="1">
      <c r="A27" s="65">
        <v>23</v>
      </c>
      <c r="B27" s="111">
        <v>18.059999999999999</v>
      </c>
      <c r="C27" s="111">
        <v>8.9700000000000006</v>
      </c>
      <c r="D27" s="111">
        <v>5.33</v>
      </c>
      <c r="E27" s="112">
        <v>4.4400000000000004</v>
      </c>
      <c r="F27" s="111">
        <v>14.68</v>
      </c>
      <c r="G27" s="111">
        <v>7.3</v>
      </c>
      <c r="H27" s="111">
        <v>4.57</v>
      </c>
      <c r="I27" s="112">
        <v>3.88</v>
      </c>
      <c r="J27" s="111">
        <f>IF('Ekstra - Udfyld din profil'!$C$5="Mænd",E27,IF('Ekstra - Udfyld din profil'!$C$5="Kvinder",I27,""))</f>
        <v>4.4400000000000004</v>
      </c>
      <c r="K27" s="111">
        <f>IF(AND(ISNUMBER('Ekstra - Udfyld din profil'!$G$5),ISNUMBER(J27)),ABS(J27-'Ekstra - Udfyld din profil'!$G$5),"")</f>
        <v>1.9400000000000004</v>
      </c>
      <c r="L27" s="246"/>
      <c r="M27" s="65"/>
      <c r="N27" s="65"/>
      <c r="O27" s="65"/>
      <c r="P27" s="65"/>
      <c r="Q27" s="65"/>
      <c r="R27" s="65"/>
      <c r="S27" s="65"/>
      <c r="T27" s="65"/>
      <c r="U27" s="65"/>
    </row>
    <row r="28" spans="1:21" s="5" customFormat="1" ht="24" customHeight="1">
      <c r="A28" s="65">
        <v>24</v>
      </c>
      <c r="B28" s="111">
        <v>17.79</v>
      </c>
      <c r="C28" s="111">
        <v>8.86</v>
      </c>
      <c r="D28" s="111">
        <v>5.22</v>
      </c>
      <c r="E28" s="112">
        <v>4.3499999999999996</v>
      </c>
      <c r="F28" s="111">
        <v>14.46</v>
      </c>
      <c r="G28" s="111">
        <v>7.21</v>
      </c>
      <c r="H28" s="111">
        <v>4.4800000000000004</v>
      </c>
      <c r="I28" s="112">
        <v>3.8</v>
      </c>
      <c r="J28" s="111">
        <f>IF('Ekstra - Udfyld din profil'!$C$5="Mænd",E28,IF('Ekstra - Udfyld din profil'!$C$5="Kvinder",I28,""))</f>
        <v>4.3499999999999996</v>
      </c>
      <c r="K28" s="111">
        <f>IF(AND(ISNUMBER('Ekstra - Udfyld din profil'!$G$5),ISNUMBER(J28)),ABS(J28-'Ekstra - Udfyld din profil'!$G$5),"")</f>
        <v>1.8499999999999996</v>
      </c>
      <c r="L28" s="246"/>
      <c r="M28" s="65"/>
      <c r="N28" s="65"/>
      <c r="O28" s="65"/>
      <c r="P28" s="65"/>
      <c r="Q28" s="65"/>
      <c r="R28" s="65"/>
      <c r="S28" s="65"/>
      <c r="T28" s="65"/>
      <c r="U28" s="65"/>
    </row>
    <row r="29" spans="1:21" s="5" customFormat="1" ht="24" customHeight="1">
      <c r="A29" s="65">
        <v>25</v>
      </c>
      <c r="B29" s="111">
        <v>17.510000000000002</v>
      </c>
      <c r="C29" s="111">
        <v>8.74</v>
      </c>
      <c r="D29" s="111">
        <v>5.12</v>
      </c>
      <c r="E29" s="112">
        <v>4.2699999999999996</v>
      </c>
      <c r="F29" s="111">
        <v>14.25</v>
      </c>
      <c r="G29" s="111">
        <v>7.11</v>
      </c>
      <c r="H29" s="111">
        <v>4.3899999999999997</v>
      </c>
      <c r="I29" s="112">
        <v>3.72</v>
      </c>
      <c r="J29" s="111">
        <f>IF('Ekstra - Udfyld din profil'!$C$5="Mænd",E29,IF('Ekstra - Udfyld din profil'!$C$5="Kvinder",I29,""))</f>
        <v>4.2699999999999996</v>
      </c>
      <c r="K29" s="111">
        <f>IF(AND(ISNUMBER('Ekstra - Udfyld din profil'!$G$5),ISNUMBER(J29)),ABS(J29-'Ekstra - Udfyld din profil'!$G$5),"")</f>
        <v>1.7699999999999996</v>
      </c>
      <c r="L29" s="246"/>
      <c r="M29" s="65"/>
      <c r="N29" s="65"/>
      <c r="O29" s="65"/>
      <c r="P29" s="65"/>
      <c r="Q29" s="65"/>
      <c r="R29" s="65"/>
      <c r="S29" s="65"/>
      <c r="T29" s="65"/>
      <c r="U29" s="65"/>
    </row>
    <row r="30" spans="1:21" s="5" customFormat="1" ht="24" customHeight="1">
      <c r="A30" s="117">
        <v>26</v>
      </c>
      <c r="B30" s="118">
        <v>17.239999999999998</v>
      </c>
      <c r="C30" s="118">
        <v>8.6300000000000008</v>
      </c>
      <c r="D30" s="118">
        <v>5.01</v>
      </c>
      <c r="E30" s="119">
        <v>4.18</v>
      </c>
      <c r="F30" s="118">
        <v>14.03</v>
      </c>
      <c r="G30" s="118">
        <v>7.02</v>
      </c>
      <c r="H30" s="118">
        <v>4.3</v>
      </c>
      <c r="I30" s="119">
        <v>3.64</v>
      </c>
      <c r="J30" s="118">
        <f>IF('Ekstra - Udfyld din profil'!$C$5="Mænd",E30,IF('Ekstra - Udfyld din profil'!$C$5="Kvinder",I30,""))</f>
        <v>4.18</v>
      </c>
      <c r="K30" s="118">
        <f>IF(AND(ISNUMBER('Ekstra - Udfyld din profil'!$G$5),ISNUMBER(J30)),ABS(J30-'Ekstra - Udfyld din profil'!$G$5),"")</f>
        <v>1.6799999999999997</v>
      </c>
      <c r="L30" s="249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5" customFormat="1" ht="24" customHeight="1">
      <c r="A31" s="65">
        <v>27</v>
      </c>
      <c r="B31" s="111">
        <v>16.97</v>
      </c>
      <c r="C31" s="111">
        <v>8.51</v>
      </c>
      <c r="D31" s="111">
        <v>4.91</v>
      </c>
      <c r="E31" s="112">
        <v>4.09</v>
      </c>
      <c r="F31" s="111">
        <v>13.82</v>
      </c>
      <c r="G31" s="111">
        <v>6.93</v>
      </c>
      <c r="H31" s="111">
        <v>4.2</v>
      </c>
      <c r="I31" s="112">
        <v>3.55</v>
      </c>
      <c r="J31" s="111">
        <f>IF('Ekstra - Udfyld din profil'!$C$5="Mænd",E31,IF('Ekstra - Udfyld din profil'!$C$5="Kvinder",I31,""))</f>
        <v>4.09</v>
      </c>
      <c r="K31" s="111">
        <f>IF(AND(ISNUMBER('Ekstra - Udfyld din profil'!$G$5),ISNUMBER(J31)),ABS(J31-'Ekstra - Udfyld din profil'!$G$5),"")</f>
        <v>1.5899999999999999</v>
      </c>
      <c r="L31" s="248" t="s">
        <v>133</v>
      </c>
      <c r="M31" s="65"/>
      <c r="N31" s="65"/>
      <c r="O31" s="65"/>
      <c r="P31" s="65"/>
      <c r="Q31" s="65"/>
      <c r="R31" s="65"/>
      <c r="S31" s="65"/>
      <c r="T31" s="65"/>
      <c r="U31" s="65"/>
    </row>
    <row r="32" spans="1:21" s="5" customFormat="1" ht="24" customHeight="1">
      <c r="A32" s="65">
        <v>28</v>
      </c>
      <c r="B32" s="111">
        <v>16.7</v>
      </c>
      <c r="C32" s="111">
        <v>8.4</v>
      </c>
      <c r="D32" s="111">
        <v>4.8099999999999996</v>
      </c>
      <c r="E32" s="112">
        <v>4</v>
      </c>
      <c r="F32" s="111">
        <v>13.6</v>
      </c>
      <c r="G32" s="111">
        <v>6.84</v>
      </c>
      <c r="H32" s="111">
        <v>4.1100000000000003</v>
      </c>
      <c r="I32" s="112">
        <v>3.47</v>
      </c>
      <c r="J32" s="111">
        <f>IF('Ekstra - Udfyld din profil'!$C$5="Mænd",E32,IF('Ekstra - Udfyld din profil'!$C$5="Kvinder",I32,""))</f>
        <v>4</v>
      </c>
      <c r="K32" s="111">
        <f>IF(AND(ISNUMBER('Ekstra - Udfyld din profil'!$G$5),ISNUMBER(J32)),ABS(J32-'Ekstra - Udfyld din profil'!$G$5),"")</f>
        <v>1.5</v>
      </c>
      <c r="L32" s="246"/>
      <c r="M32" s="65"/>
      <c r="N32" s="65"/>
      <c r="O32" s="65"/>
      <c r="P32" s="65"/>
      <c r="Q32" s="65"/>
      <c r="R32" s="65"/>
      <c r="S32" s="65"/>
      <c r="T32" s="65"/>
      <c r="U32" s="65"/>
    </row>
    <row r="33" spans="1:21" s="5" customFormat="1" ht="24" customHeight="1">
      <c r="A33" s="65">
        <v>29</v>
      </c>
      <c r="B33" s="111">
        <v>16.43</v>
      </c>
      <c r="C33" s="111">
        <v>8.2799999999999994</v>
      </c>
      <c r="D33" s="111">
        <v>4.7</v>
      </c>
      <c r="E33" s="112">
        <v>3.91</v>
      </c>
      <c r="F33" s="111">
        <v>13.39</v>
      </c>
      <c r="G33" s="111">
        <v>6.75</v>
      </c>
      <c r="H33" s="111">
        <v>4.0199999999999996</v>
      </c>
      <c r="I33" s="112">
        <v>3.39</v>
      </c>
      <c r="J33" s="111">
        <f>IF('Ekstra - Udfyld din profil'!$C$5="Mænd",E33,IF('Ekstra - Udfyld din profil'!$C$5="Kvinder",I33,""))</f>
        <v>3.91</v>
      </c>
      <c r="K33" s="111">
        <f>IF(AND(ISNUMBER('Ekstra - Udfyld din profil'!$G$5),ISNUMBER(J33)),ABS(J33-'Ekstra - Udfyld din profil'!$G$5),"")</f>
        <v>1.4100000000000001</v>
      </c>
      <c r="L33" s="246"/>
      <c r="M33" s="65"/>
      <c r="N33" s="65"/>
      <c r="O33" s="65"/>
      <c r="P33" s="65"/>
      <c r="Q33" s="65"/>
      <c r="R33" s="65"/>
      <c r="S33" s="65"/>
      <c r="T33" s="65"/>
      <c r="U33" s="65"/>
    </row>
    <row r="34" spans="1:21" s="5" customFormat="1" ht="24" customHeight="1">
      <c r="A34" s="65">
        <v>30</v>
      </c>
      <c r="B34" s="111">
        <v>16.149999999999999</v>
      </c>
      <c r="C34" s="111">
        <v>8.17</v>
      </c>
      <c r="D34" s="111">
        <v>4.5999999999999996</v>
      </c>
      <c r="E34" s="112">
        <v>3.82</v>
      </c>
      <c r="F34" s="111">
        <v>13.17</v>
      </c>
      <c r="G34" s="111">
        <v>6.66</v>
      </c>
      <c r="H34" s="111">
        <v>3.93</v>
      </c>
      <c r="I34" s="112">
        <v>3.31</v>
      </c>
      <c r="J34" s="111">
        <f>IF('Ekstra - Udfyld din profil'!$C$5="Mænd",E34,IF('Ekstra - Udfyld din profil'!$C$5="Kvinder",I34,""))</f>
        <v>3.82</v>
      </c>
      <c r="K34" s="111">
        <f>IF(AND(ISNUMBER('Ekstra - Udfyld din profil'!$G$5),ISNUMBER(J34)),ABS(J34-'Ekstra - Udfyld din profil'!$G$5),"")</f>
        <v>1.3199999999999998</v>
      </c>
      <c r="L34" s="246"/>
      <c r="M34" s="65"/>
      <c r="N34" s="65"/>
      <c r="O34" s="65"/>
      <c r="P34" s="65"/>
      <c r="Q34" s="65"/>
      <c r="R34" s="65"/>
      <c r="S34" s="65"/>
      <c r="T34" s="65"/>
      <c r="U34" s="65"/>
    </row>
    <row r="35" spans="1:21" s="5" customFormat="1" ht="24" customHeight="1">
      <c r="A35" s="65">
        <v>31</v>
      </c>
      <c r="B35" s="111">
        <v>15.88</v>
      </c>
      <c r="C35" s="111">
        <v>8.0500000000000007</v>
      </c>
      <c r="D35" s="111">
        <v>4.5</v>
      </c>
      <c r="E35" s="112">
        <v>3.73</v>
      </c>
      <c r="F35" s="111">
        <v>12.95</v>
      </c>
      <c r="G35" s="111">
        <v>6.57</v>
      </c>
      <c r="H35" s="111">
        <v>3.83</v>
      </c>
      <c r="I35" s="112">
        <v>3.23</v>
      </c>
      <c r="J35" s="111">
        <f>IF('Ekstra - Udfyld din profil'!$C$5="Mænd",E35,IF('Ekstra - Udfyld din profil'!$C$5="Kvinder",I35,""))</f>
        <v>3.73</v>
      </c>
      <c r="K35" s="111">
        <f>IF(AND(ISNUMBER('Ekstra - Udfyld din profil'!$G$5),ISNUMBER(J35)),ABS(J35-'Ekstra - Udfyld din profil'!$G$5),"")</f>
        <v>1.23</v>
      </c>
      <c r="L35" s="246"/>
      <c r="M35" s="65"/>
      <c r="N35" s="65"/>
      <c r="O35" s="65"/>
      <c r="P35" s="65"/>
      <c r="Q35" s="65"/>
      <c r="R35" s="65"/>
      <c r="S35" s="65"/>
      <c r="T35" s="65"/>
      <c r="U35" s="65"/>
    </row>
    <row r="36" spans="1:21" s="5" customFormat="1" ht="24" customHeight="1">
      <c r="A36" s="117">
        <v>32</v>
      </c>
      <c r="B36" s="118">
        <v>15.61</v>
      </c>
      <c r="C36" s="118">
        <v>7.94</v>
      </c>
      <c r="D36" s="118">
        <v>4.3899999999999997</v>
      </c>
      <c r="E36" s="119">
        <v>3.64</v>
      </c>
      <c r="F36" s="118">
        <v>12.74</v>
      </c>
      <c r="G36" s="118">
        <v>6.48</v>
      </c>
      <c r="H36" s="118">
        <v>3.74</v>
      </c>
      <c r="I36" s="119">
        <v>3.14</v>
      </c>
      <c r="J36" s="118">
        <f>IF('Ekstra - Udfyld din profil'!$C$5="Mænd",E36,IF('Ekstra - Udfyld din profil'!$C$5="Kvinder",I36,""))</f>
        <v>3.64</v>
      </c>
      <c r="K36" s="118">
        <f>IF(AND(ISNUMBER('Ekstra - Udfyld din profil'!$G$5),ISNUMBER(J36)),ABS(J36-'Ekstra - Udfyld din profil'!$G$5),"")</f>
        <v>1.1400000000000001</v>
      </c>
      <c r="L36" s="249"/>
      <c r="M36" s="65"/>
      <c r="N36" s="65"/>
      <c r="O36" s="65"/>
      <c r="P36" s="65"/>
      <c r="Q36" s="65"/>
      <c r="R36" s="65"/>
      <c r="S36" s="65"/>
      <c r="T36" s="65"/>
      <c r="U36" s="65"/>
    </row>
    <row r="37" spans="1:21" s="5" customFormat="1" ht="24" customHeight="1">
      <c r="A37" s="65">
        <v>33</v>
      </c>
      <c r="B37" s="111">
        <v>15.34</v>
      </c>
      <c r="C37" s="111">
        <v>7.82</v>
      </c>
      <c r="D37" s="111">
        <v>4.29</v>
      </c>
      <c r="E37" s="112">
        <v>3.55</v>
      </c>
      <c r="F37" s="111">
        <v>12.52</v>
      </c>
      <c r="G37" s="111">
        <v>6.39</v>
      </c>
      <c r="H37" s="111">
        <v>3.65</v>
      </c>
      <c r="I37" s="112">
        <v>3.06</v>
      </c>
      <c r="J37" s="111">
        <f>IF('Ekstra - Udfyld din profil'!$C$5="Mænd",E37,IF('Ekstra - Udfyld din profil'!$C$5="Kvinder",I37,""))</f>
        <v>3.55</v>
      </c>
      <c r="K37" s="111">
        <f>IF(AND(ISNUMBER('Ekstra - Udfyld din profil'!$G$5),ISNUMBER(J37)),ABS(J37-'Ekstra - Udfyld din profil'!$G$5),"")</f>
        <v>1.0499999999999998</v>
      </c>
      <c r="L37" s="248" t="s">
        <v>281</v>
      </c>
      <c r="M37" s="65"/>
      <c r="N37" s="65"/>
      <c r="O37" s="65"/>
      <c r="P37" s="65"/>
      <c r="Q37" s="65"/>
      <c r="R37" s="65"/>
      <c r="S37" s="65"/>
      <c r="T37" s="65"/>
      <c r="U37" s="65"/>
    </row>
    <row r="38" spans="1:21" s="5" customFormat="1" ht="24" customHeight="1">
      <c r="A38" s="65">
        <v>34</v>
      </c>
      <c r="B38" s="111">
        <v>15.07</v>
      </c>
      <c r="C38" s="111">
        <v>7.71</v>
      </c>
      <c r="D38" s="111">
        <v>4.1900000000000004</v>
      </c>
      <c r="E38" s="112">
        <v>3.47</v>
      </c>
      <c r="F38" s="111">
        <v>12.31</v>
      </c>
      <c r="G38" s="111">
        <v>6.3</v>
      </c>
      <c r="H38" s="111">
        <v>3.56</v>
      </c>
      <c r="I38" s="112">
        <v>2.98</v>
      </c>
      <c r="J38" s="111">
        <f>IF('Ekstra - Udfyld din profil'!$C$5="Mænd",E38,IF('Ekstra - Udfyld din profil'!$C$5="Kvinder",I38,""))</f>
        <v>3.47</v>
      </c>
      <c r="K38" s="111">
        <f>IF(AND(ISNUMBER('Ekstra - Udfyld din profil'!$G$5),ISNUMBER(J38)),ABS(J38-'Ekstra - Udfyld din profil'!$G$5),"")</f>
        <v>0.9700000000000002</v>
      </c>
      <c r="L38" s="246"/>
      <c r="M38" s="65"/>
      <c r="N38" s="65"/>
      <c r="O38" s="65"/>
      <c r="P38" s="65"/>
      <c r="Q38" s="65"/>
      <c r="R38" s="65"/>
      <c r="S38" s="65"/>
      <c r="T38" s="65"/>
      <c r="U38" s="65"/>
    </row>
    <row r="39" spans="1:21" s="5" customFormat="1" ht="24" customHeight="1">
      <c r="A39" s="65">
        <v>35</v>
      </c>
      <c r="B39" s="111">
        <v>14.79</v>
      </c>
      <c r="C39" s="111">
        <v>7.59</v>
      </c>
      <c r="D39" s="111">
        <v>4.08</v>
      </c>
      <c r="E39" s="112">
        <v>3.38</v>
      </c>
      <c r="F39" s="111">
        <v>12.09</v>
      </c>
      <c r="G39" s="111">
        <v>6.21</v>
      </c>
      <c r="H39" s="111">
        <v>3.46</v>
      </c>
      <c r="I39" s="112">
        <v>2.9</v>
      </c>
      <c r="J39" s="111">
        <f>IF('Ekstra - Udfyld din profil'!$C$5="Mænd",E39,IF('Ekstra - Udfyld din profil'!$C$5="Kvinder",I39,""))</f>
        <v>3.38</v>
      </c>
      <c r="K39" s="111">
        <f>IF(AND(ISNUMBER('Ekstra - Udfyld din profil'!$G$5),ISNUMBER(J39)),ABS(J39-'Ekstra - Udfyld din profil'!$G$5),"")</f>
        <v>0.87999999999999989</v>
      </c>
      <c r="L39" s="246"/>
      <c r="M39" s="65"/>
      <c r="N39" s="65"/>
      <c r="O39" s="65"/>
      <c r="P39" s="65"/>
      <c r="Q39" s="65"/>
      <c r="R39" s="65"/>
      <c r="S39" s="65"/>
      <c r="T39" s="65"/>
      <c r="U39" s="65"/>
    </row>
    <row r="40" spans="1:21" s="5" customFormat="1" ht="24" customHeight="1">
      <c r="A40" s="65">
        <v>36</v>
      </c>
      <c r="B40" s="111">
        <v>14.52</v>
      </c>
      <c r="C40" s="111">
        <v>7.48</v>
      </c>
      <c r="D40" s="111">
        <v>3.98</v>
      </c>
      <c r="E40" s="112">
        <v>3.29</v>
      </c>
      <c r="F40" s="111">
        <v>11.88</v>
      </c>
      <c r="G40" s="111">
        <v>6.12</v>
      </c>
      <c r="H40" s="111">
        <v>3.37</v>
      </c>
      <c r="I40" s="112">
        <v>2.82</v>
      </c>
      <c r="J40" s="111">
        <f>IF('Ekstra - Udfyld din profil'!$C$5="Mænd",E40,IF('Ekstra - Udfyld din profil'!$C$5="Kvinder",I40,""))</f>
        <v>3.29</v>
      </c>
      <c r="K40" s="111">
        <f>IF(AND(ISNUMBER('Ekstra - Udfyld din profil'!$G$5),ISNUMBER(J40)),ABS(J40-'Ekstra - Udfyld din profil'!$G$5),"")</f>
        <v>0.79</v>
      </c>
      <c r="L40" s="246"/>
      <c r="M40" s="65"/>
      <c r="N40" s="65"/>
      <c r="O40" s="65"/>
      <c r="P40" s="65"/>
      <c r="Q40" s="65"/>
      <c r="R40" s="65"/>
      <c r="S40" s="65"/>
      <c r="T40" s="65"/>
      <c r="U40" s="65"/>
    </row>
    <row r="41" spans="1:21" s="5" customFormat="1" ht="24" customHeight="1">
      <c r="A41" s="65">
        <v>37</v>
      </c>
      <c r="B41" s="111">
        <v>14.25</v>
      </c>
      <c r="C41" s="111">
        <v>7.36</v>
      </c>
      <c r="D41" s="111">
        <v>3.88</v>
      </c>
      <c r="E41" s="112">
        <v>3.2</v>
      </c>
      <c r="F41" s="111">
        <v>11.66</v>
      </c>
      <c r="G41" s="111">
        <v>6.03</v>
      </c>
      <c r="H41" s="111">
        <v>3.28</v>
      </c>
      <c r="I41" s="112">
        <v>2.73</v>
      </c>
      <c r="J41" s="111">
        <f>IF('Ekstra - Udfyld din profil'!$C$5="Mænd",E41,IF('Ekstra - Udfyld din profil'!$C$5="Kvinder",I41,""))</f>
        <v>3.2</v>
      </c>
      <c r="K41" s="111">
        <f>IF(AND(ISNUMBER('Ekstra - Udfyld din profil'!$G$5),ISNUMBER(J41)),ABS(J41-'Ekstra - Udfyld din profil'!$G$5),"")</f>
        <v>0.70000000000000018</v>
      </c>
      <c r="L41" s="246"/>
      <c r="M41" s="65"/>
      <c r="N41" s="65"/>
      <c r="O41" s="65"/>
      <c r="P41" s="65"/>
      <c r="Q41" s="65"/>
      <c r="R41" s="65"/>
      <c r="S41" s="65"/>
      <c r="T41" s="65"/>
      <c r="U41" s="65"/>
    </row>
    <row r="42" spans="1:21" s="5" customFormat="1" ht="24" customHeight="1">
      <c r="A42" s="117">
        <v>38</v>
      </c>
      <c r="B42" s="118">
        <v>13.98</v>
      </c>
      <c r="C42" s="118">
        <v>7.25</v>
      </c>
      <c r="D42" s="118">
        <v>3.77</v>
      </c>
      <c r="E42" s="119">
        <v>3.11</v>
      </c>
      <c r="F42" s="118">
        <v>11.45</v>
      </c>
      <c r="G42" s="118">
        <v>5.94</v>
      </c>
      <c r="H42" s="118">
        <v>3.19</v>
      </c>
      <c r="I42" s="119">
        <v>2.65</v>
      </c>
      <c r="J42" s="118">
        <f>IF('Ekstra - Udfyld din profil'!$C$5="Mænd",E42,IF('Ekstra - Udfyld din profil'!$C$5="Kvinder",I42,""))</f>
        <v>3.11</v>
      </c>
      <c r="K42" s="118">
        <f>IF(AND(ISNUMBER('Ekstra - Udfyld din profil'!$G$5),ISNUMBER(J42)),ABS(J42-'Ekstra - Udfyld din profil'!$G$5),"")</f>
        <v>0.60999999999999988</v>
      </c>
      <c r="L42" s="249"/>
      <c r="M42" s="65"/>
      <c r="N42" s="65"/>
      <c r="O42" s="65"/>
      <c r="P42" s="65"/>
      <c r="Q42" s="65"/>
      <c r="R42" s="65"/>
      <c r="S42" s="65"/>
      <c r="T42" s="65"/>
      <c r="U42" s="65"/>
    </row>
    <row r="43" spans="1:21" s="5" customFormat="1" ht="24" customHeight="1">
      <c r="A43" s="65">
        <v>39</v>
      </c>
      <c r="B43" s="111">
        <v>13.71</v>
      </c>
      <c r="C43" s="111">
        <v>7.13</v>
      </c>
      <c r="D43" s="111">
        <v>3.67</v>
      </c>
      <c r="E43" s="112">
        <v>3.02</v>
      </c>
      <c r="F43" s="111">
        <v>11.23</v>
      </c>
      <c r="G43" s="111">
        <v>5.85</v>
      </c>
      <c r="H43" s="111">
        <v>3.09</v>
      </c>
      <c r="I43" s="112">
        <v>2.57</v>
      </c>
      <c r="J43" s="111">
        <f>IF('Ekstra - Udfyld din profil'!$C$5="Mænd",E43,IF('Ekstra - Udfyld din profil'!$C$5="Kvinder",I43,""))</f>
        <v>3.02</v>
      </c>
      <c r="K43" s="111">
        <f>IF(AND(ISNUMBER('Ekstra - Udfyld din profil'!$G$5),ISNUMBER(J43)),ABS(J43-'Ekstra - Udfyld din profil'!$G$5),"")</f>
        <v>0.52</v>
      </c>
      <c r="L43" s="248" t="s">
        <v>134</v>
      </c>
      <c r="M43" s="65"/>
      <c r="N43" s="65"/>
      <c r="O43" s="65"/>
      <c r="P43" s="65"/>
      <c r="Q43" s="65"/>
      <c r="R43" s="65"/>
      <c r="S43" s="65"/>
      <c r="T43" s="65"/>
      <c r="U43" s="65"/>
    </row>
    <row r="44" spans="1:21" s="5" customFormat="1" ht="24" customHeight="1">
      <c r="A44" s="65">
        <v>40</v>
      </c>
      <c r="B44" s="111">
        <v>13.44</v>
      </c>
      <c r="C44" s="111">
        <v>7.02</v>
      </c>
      <c r="D44" s="111">
        <v>3.57</v>
      </c>
      <c r="E44" s="112">
        <v>2.93</v>
      </c>
      <c r="F44" s="111">
        <v>11.01</v>
      </c>
      <c r="G44" s="111">
        <v>5.76</v>
      </c>
      <c r="H44" s="111">
        <v>3</v>
      </c>
      <c r="I44" s="112">
        <v>2.4900000000000002</v>
      </c>
      <c r="J44" s="111">
        <f>IF('Ekstra - Udfyld din profil'!$C$5="Mænd",E44,IF('Ekstra - Udfyld din profil'!$C$5="Kvinder",I44,""))</f>
        <v>2.93</v>
      </c>
      <c r="K44" s="111">
        <f>IF(AND(ISNUMBER('Ekstra - Udfyld din profil'!$G$5),ISNUMBER(J44)),ABS(J44-'Ekstra - Udfyld din profil'!$G$5),"")</f>
        <v>0.43000000000000016</v>
      </c>
      <c r="L44" s="246"/>
      <c r="M44" s="65"/>
      <c r="N44" s="65"/>
      <c r="O44" s="65"/>
      <c r="P44" s="65"/>
      <c r="Q44" s="65"/>
      <c r="R44" s="65"/>
      <c r="S44" s="65"/>
      <c r="T44" s="65"/>
      <c r="U44" s="65"/>
    </row>
    <row r="45" spans="1:21" s="5" customFormat="1" ht="24" customHeight="1">
      <c r="A45" s="65">
        <v>41</v>
      </c>
      <c r="B45" s="111">
        <v>13.16</v>
      </c>
      <c r="C45" s="111">
        <v>6.9</v>
      </c>
      <c r="D45" s="111">
        <v>3.46</v>
      </c>
      <c r="E45" s="112">
        <v>2.84</v>
      </c>
      <c r="F45" s="111">
        <v>10.8</v>
      </c>
      <c r="G45" s="111">
        <v>5.66</v>
      </c>
      <c r="H45" s="111">
        <v>2.91</v>
      </c>
      <c r="I45" s="112">
        <v>2.4</v>
      </c>
      <c r="J45" s="111">
        <f>IF('Ekstra - Udfyld din profil'!$C$5="Mænd",E45,IF('Ekstra - Udfyld din profil'!$C$5="Kvinder",I45,""))</f>
        <v>2.84</v>
      </c>
      <c r="K45" s="111">
        <f>IF(AND(ISNUMBER('Ekstra - Udfyld din profil'!$G$5),ISNUMBER(J45)),ABS(J45-'Ekstra - Udfyld din profil'!$G$5),"")</f>
        <v>0.33999999999999986</v>
      </c>
      <c r="L45" s="246"/>
      <c r="M45" s="65"/>
      <c r="N45" s="65"/>
      <c r="O45" s="65"/>
      <c r="P45" s="65"/>
      <c r="Q45" s="65"/>
      <c r="R45" s="65"/>
      <c r="S45" s="65"/>
      <c r="T45" s="65"/>
      <c r="U45" s="65"/>
    </row>
    <row r="46" spans="1:21" s="5" customFormat="1" ht="24" customHeight="1">
      <c r="A46" s="65">
        <v>42</v>
      </c>
      <c r="B46" s="111">
        <v>12.89</v>
      </c>
      <c r="C46" s="111">
        <v>6.79</v>
      </c>
      <c r="D46" s="111">
        <v>3.36</v>
      </c>
      <c r="E46" s="112">
        <v>2.75</v>
      </c>
      <c r="F46" s="111">
        <v>10.58</v>
      </c>
      <c r="G46" s="111">
        <v>5.57</v>
      </c>
      <c r="H46" s="111">
        <v>2.82</v>
      </c>
      <c r="I46" s="112">
        <v>2.3199999999999998</v>
      </c>
      <c r="J46" s="111">
        <f>IF('Ekstra - Udfyld din profil'!$C$5="Mænd",E46,IF('Ekstra - Udfyld din profil'!$C$5="Kvinder",I46,""))</f>
        <v>2.75</v>
      </c>
      <c r="K46" s="111">
        <f>IF(AND(ISNUMBER('Ekstra - Udfyld din profil'!$G$5),ISNUMBER(J46)),ABS(J46-'Ekstra - Udfyld din profil'!$G$5),"")</f>
        <v>0.25</v>
      </c>
      <c r="L46" s="246"/>
      <c r="M46" s="65"/>
      <c r="N46" s="65"/>
      <c r="O46" s="65"/>
      <c r="P46" s="65"/>
      <c r="Q46" s="65"/>
      <c r="R46" s="65"/>
      <c r="S46" s="65"/>
      <c r="T46" s="65"/>
      <c r="U46" s="65"/>
    </row>
    <row r="47" spans="1:21" s="5" customFormat="1" ht="24" customHeight="1">
      <c r="A47" s="65">
        <v>43</v>
      </c>
      <c r="B47" s="111">
        <v>12.62</v>
      </c>
      <c r="C47" s="111">
        <v>6.67</v>
      </c>
      <c r="D47" s="111">
        <v>3.26</v>
      </c>
      <c r="E47" s="112">
        <v>2.66</v>
      </c>
      <c r="F47" s="111">
        <v>10.37</v>
      </c>
      <c r="G47" s="111">
        <v>5.48</v>
      </c>
      <c r="H47" s="111">
        <v>2.72</v>
      </c>
      <c r="I47" s="112">
        <v>2.2400000000000002</v>
      </c>
      <c r="J47" s="111">
        <f>IF('Ekstra - Udfyld din profil'!$C$5="Mænd",E47,IF('Ekstra - Udfyld din profil'!$C$5="Kvinder",I47,""))</f>
        <v>2.66</v>
      </c>
      <c r="K47" s="111">
        <f>IF(AND(ISNUMBER('Ekstra - Udfyld din profil'!$G$5),ISNUMBER(J47)),ABS(J47-'Ekstra - Udfyld din profil'!$G$5),"")</f>
        <v>0.16000000000000014</v>
      </c>
      <c r="L47" s="246"/>
      <c r="M47" s="65"/>
      <c r="N47" s="65"/>
      <c r="O47" s="65"/>
      <c r="P47" s="65"/>
      <c r="Q47" s="65"/>
      <c r="R47" s="65"/>
      <c r="S47" s="65"/>
      <c r="T47" s="65"/>
      <c r="U47" s="65"/>
    </row>
    <row r="48" spans="1:21" s="5" customFormat="1" ht="24" customHeight="1">
      <c r="A48" s="65">
        <v>44</v>
      </c>
      <c r="B48" s="111">
        <v>12.35</v>
      </c>
      <c r="C48" s="111">
        <v>6.56</v>
      </c>
      <c r="D48" s="111">
        <v>3.15</v>
      </c>
      <c r="E48" s="112">
        <v>2.58</v>
      </c>
      <c r="F48" s="111">
        <v>10.15</v>
      </c>
      <c r="G48" s="111">
        <v>5.39</v>
      </c>
      <c r="H48" s="111">
        <v>2.63</v>
      </c>
      <c r="I48" s="112">
        <v>2.16</v>
      </c>
      <c r="J48" s="111">
        <f>IF('Ekstra - Udfyld din profil'!$C$5="Mænd",E48,IF('Ekstra - Udfyld din profil'!$C$5="Kvinder",I48,""))</f>
        <v>2.58</v>
      </c>
      <c r="K48" s="111">
        <f>IF(AND(ISNUMBER('Ekstra - Udfyld din profil'!$G$5),ISNUMBER(J48)),ABS(J48-'Ekstra - Udfyld din profil'!$G$5),"")</f>
        <v>8.0000000000000071E-2</v>
      </c>
      <c r="L48" s="246"/>
      <c r="M48" s="65"/>
      <c r="N48" s="65"/>
      <c r="O48" s="65"/>
      <c r="P48" s="65"/>
      <c r="Q48" s="65"/>
      <c r="R48" s="65"/>
      <c r="S48" s="65"/>
      <c r="T48" s="65"/>
      <c r="U48" s="65"/>
    </row>
    <row r="49" spans="1:21" s="5" customFormat="1" ht="24" customHeight="1">
      <c r="A49" s="117">
        <v>45</v>
      </c>
      <c r="B49" s="118">
        <v>12.08</v>
      </c>
      <c r="C49" s="118">
        <v>6.44</v>
      </c>
      <c r="D49" s="118">
        <v>3.05</v>
      </c>
      <c r="E49" s="119">
        <v>2.4900000000000002</v>
      </c>
      <c r="F49" s="118">
        <v>9.94</v>
      </c>
      <c r="G49" s="118">
        <v>5.3</v>
      </c>
      <c r="H49" s="118">
        <v>2.54</v>
      </c>
      <c r="I49" s="119">
        <v>2.08</v>
      </c>
      <c r="J49" s="118">
        <f>IF('Ekstra - Udfyld din profil'!$C$5="Mænd",E49,IF('Ekstra - Udfyld din profil'!$C$5="Kvinder",I49,""))</f>
        <v>2.4900000000000002</v>
      </c>
      <c r="K49" s="111">
        <f>IF(AND(ISNUMBER('Ekstra - Udfyld din profil'!$G$5),ISNUMBER(J49)),ABS(J49-'Ekstra - Udfyld din profil'!$G$5),"")</f>
        <v>9.9999999999997868E-3</v>
      </c>
      <c r="L49" s="249"/>
      <c r="M49" s="65"/>
      <c r="N49" s="65"/>
      <c r="O49" s="65"/>
      <c r="P49" s="65"/>
      <c r="Q49" s="65"/>
      <c r="R49" s="65"/>
      <c r="S49" s="65"/>
      <c r="T49" s="65"/>
      <c r="U49" s="65"/>
    </row>
    <row r="50" spans="1:21" s="5" customFormat="1" ht="24" customHeight="1">
      <c r="A50" s="65">
        <v>46</v>
      </c>
      <c r="B50" s="111">
        <v>11.8</v>
      </c>
      <c r="C50" s="111">
        <v>6.33</v>
      </c>
      <c r="D50" s="111">
        <v>2.95</v>
      </c>
      <c r="E50" s="112">
        <v>2.4</v>
      </c>
      <c r="F50" s="111">
        <v>9.7200000000000006</v>
      </c>
      <c r="G50" s="111">
        <v>5.21</v>
      </c>
      <c r="H50" s="111">
        <v>2.4500000000000002</v>
      </c>
      <c r="I50" s="112">
        <v>1.99</v>
      </c>
      <c r="J50" s="111">
        <f>IF('Ekstra - Udfyld din profil'!$C$5="Mænd",E50,IF('Ekstra - Udfyld din profil'!$C$5="Kvinder",I50,""))</f>
        <v>2.4</v>
      </c>
      <c r="K50" s="111">
        <f>IF(AND(ISNUMBER('Ekstra - Udfyld din profil'!$G$5),ISNUMBER(J50)),ABS(J50-'Ekstra - Udfyld din profil'!$G$5),"")</f>
        <v>0.10000000000000009</v>
      </c>
      <c r="L50" s="250" t="s">
        <v>282</v>
      </c>
      <c r="M50" s="65"/>
      <c r="N50" s="65"/>
      <c r="O50" s="65"/>
      <c r="P50" s="65"/>
      <c r="Q50" s="65"/>
      <c r="R50" s="65"/>
      <c r="S50" s="65"/>
      <c r="T50" s="65"/>
      <c r="U50" s="65"/>
    </row>
    <row r="51" spans="1:21" s="5" customFormat="1" ht="24" customHeight="1">
      <c r="A51" s="65">
        <v>47</v>
      </c>
      <c r="B51" s="111">
        <v>11.53</v>
      </c>
      <c r="C51" s="111">
        <v>6.21</v>
      </c>
      <c r="D51" s="111">
        <v>2.84</v>
      </c>
      <c r="E51" s="112">
        <v>2.31</v>
      </c>
      <c r="F51" s="111">
        <v>9.51</v>
      </c>
      <c r="G51" s="111">
        <v>5.12</v>
      </c>
      <c r="H51" s="111">
        <v>2.35</v>
      </c>
      <c r="I51" s="112">
        <v>1.91</v>
      </c>
      <c r="J51" s="111">
        <f>IF('Ekstra - Udfyld din profil'!$C$5="Mænd",E51,IF('Ekstra - Udfyld din profil'!$C$5="Kvinder",I51,""))</f>
        <v>2.31</v>
      </c>
      <c r="K51" s="111">
        <f>IF(AND(ISNUMBER('Ekstra - Udfyld din profil'!$G$5),ISNUMBER(J51)),ABS(J51-'Ekstra - Udfyld din profil'!$G$5),"")</f>
        <v>0.18999999999999995</v>
      </c>
      <c r="L51" s="246"/>
      <c r="M51" s="65"/>
      <c r="N51" s="65"/>
      <c r="O51" s="65"/>
      <c r="P51" s="65"/>
      <c r="Q51" s="65"/>
      <c r="R51" s="65"/>
      <c r="S51" s="65"/>
      <c r="T51" s="65"/>
      <c r="U51" s="65"/>
    </row>
    <row r="52" spans="1:21" s="5" customFormat="1" ht="24" customHeight="1">
      <c r="A52" s="65">
        <v>48</v>
      </c>
      <c r="B52" s="111">
        <v>11.26</v>
      </c>
      <c r="C52" s="111">
        <v>6.1</v>
      </c>
      <c r="D52" s="111">
        <v>2.74</v>
      </c>
      <c r="E52" s="112">
        <v>2.2200000000000002</v>
      </c>
      <c r="F52" s="111">
        <v>9.2899999999999991</v>
      </c>
      <c r="G52" s="111">
        <v>5.03</v>
      </c>
      <c r="H52" s="111">
        <v>2.2599999999999998</v>
      </c>
      <c r="I52" s="112">
        <v>1.83</v>
      </c>
      <c r="J52" s="111">
        <f>IF('Ekstra - Udfyld din profil'!$C$5="Mænd",E52,IF('Ekstra - Udfyld din profil'!$C$5="Kvinder",I52,""))</f>
        <v>2.2200000000000002</v>
      </c>
      <c r="K52" s="111">
        <f>IF(AND(ISNUMBER('Ekstra - Udfyld din profil'!$G$5),ISNUMBER(J52)),ABS(J52-'Ekstra - Udfyld din profil'!$G$5),"")</f>
        <v>0.2799999999999998</v>
      </c>
      <c r="L52" s="246"/>
      <c r="M52" s="65"/>
      <c r="N52" s="65"/>
      <c r="O52" s="65"/>
      <c r="P52" s="65"/>
      <c r="Q52" s="65"/>
      <c r="R52" s="65"/>
      <c r="S52" s="65"/>
      <c r="T52" s="65"/>
      <c r="U52" s="65"/>
    </row>
    <row r="53" spans="1:21" s="5" customFormat="1" ht="24" customHeight="1">
      <c r="A53" s="65">
        <v>49</v>
      </c>
      <c r="B53" s="111">
        <v>10.99</v>
      </c>
      <c r="C53" s="111">
        <v>5.99</v>
      </c>
      <c r="D53" s="111">
        <v>2.64</v>
      </c>
      <c r="E53" s="112">
        <v>2.13</v>
      </c>
      <c r="F53" s="111">
        <v>9.07</v>
      </c>
      <c r="G53" s="111">
        <v>4.9400000000000004</v>
      </c>
      <c r="H53" s="111">
        <v>2.17</v>
      </c>
      <c r="I53" s="112">
        <v>1.75</v>
      </c>
      <c r="J53" s="111">
        <f>IF('Ekstra - Udfyld din profil'!$C$5="Mænd",E53,IF('Ekstra - Udfyld din profil'!$C$5="Kvinder",I53,""))</f>
        <v>2.13</v>
      </c>
      <c r="K53" s="111">
        <f>IF(AND(ISNUMBER('Ekstra - Udfyld din profil'!$G$5),ISNUMBER(J53)),ABS(J53-'Ekstra - Udfyld din profil'!$G$5),"")</f>
        <v>0.37000000000000011</v>
      </c>
      <c r="L53" s="246"/>
      <c r="M53" s="65"/>
      <c r="N53" s="65"/>
      <c r="O53" s="65"/>
      <c r="P53" s="65"/>
      <c r="Q53" s="65"/>
      <c r="R53" s="65"/>
      <c r="S53" s="65"/>
      <c r="T53" s="65"/>
      <c r="U53" s="65"/>
    </row>
    <row r="54" spans="1:21" s="5" customFormat="1" ht="24" customHeight="1">
      <c r="A54" s="65">
        <v>50</v>
      </c>
      <c r="B54" s="111">
        <v>10.72</v>
      </c>
      <c r="C54" s="111">
        <v>5.87</v>
      </c>
      <c r="D54" s="111">
        <v>2.5299999999999998</v>
      </c>
      <c r="E54" s="112">
        <v>2.04</v>
      </c>
      <c r="F54" s="111">
        <v>8.86</v>
      </c>
      <c r="G54" s="111">
        <v>4.8499999999999996</v>
      </c>
      <c r="H54" s="111">
        <v>2.0699999999999998</v>
      </c>
      <c r="I54" s="112">
        <v>1.67</v>
      </c>
      <c r="J54" s="111">
        <f>IF('Ekstra - Udfyld din profil'!$C$5="Mænd",E54,IF('Ekstra - Udfyld din profil'!$C$5="Kvinder",I54,""))</f>
        <v>2.04</v>
      </c>
      <c r="K54" s="111">
        <f>IF(AND(ISNUMBER('Ekstra - Udfyld din profil'!$G$5),ISNUMBER(J54)),ABS(J54-'Ekstra - Udfyld din profil'!$G$5),"")</f>
        <v>0.45999999999999996</v>
      </c>
      <c r="L54" s="246"/>
      <c r="M54" s="65"/>
      <c r="N54" s="65"/>
      <c r="O54" s="65"/>
      <c r="P54" s="65"/>
      <c r="Q54" s="65"/>
      <c r="R54" s="65"/>
      <c r="S54" s="65"/>
      <c r="T54" s="65"/>
      <c r="U54" s="65"/>
    </row>
    <row r="55" spans="1:21" s="5" customFormat="1" ht="24" customHeight="1">
      <c r="A55" s="65">
        <v>51</v>
      </c>
      <c r="B55" s="111">
        <v>10.44</v>
      </c>
      <c r="C55" s="111">
        <v>5.76</v>
      </c>
      <c r="D55" s="111">
        <v>2.4300000000000002</v>
      </c>
      <c r="E55" s="112">
        <v>1.95</v>
      </c>
      <c r="F55" s="111">
        <v>8.64</v>
      </c>
      <c r="G55" s="111">
        <v>4.76</v>
      </c>
      <c r="H55" s="111">
        <v>1.98</v>
      </c>
      <c r="I55" s="112">
        <v>1.58</v>
      </c>
      <c r="J55" s="111">
        <f>IF('Ekstra - Udfyld din profil'!$C$5="Mænd",E55,IF('Ekstra - Udfyld din profil'!$C$5="Kvinder",I55,""))</f>
        <v>1.95</v>
      </c>
      <c r="K55" s="111">
        <f>IF(AND(ISNUMBER('Ekstra - Udfyld din profil'!$G$5),ISNUMBER(J55)),ABS(J55-'Ekstra - Udfyld din profil'!$G$5),"")</f>
        <v>0.55000000000000004</v>
      </c>
      <c r="L55" s="246"/>
      <c r="M55" s="65"/>
      <c r="N55" s="65"/>
      <c r="O55" s="65"/>
      <c r="P55" s="65"/>
      <c r="Q55" s="65"/>
      <c r="R55" s="65"/>
      <c r="S55" s="65"/>
      <c r="T55" s="65"/>
      <c r="U55" s="65"/>
    </row>
    <row r="56" spans="1:21" s="5" customFormat="1" ht="24" customHeight="1">
      <c r="A56" s="123">
        <v>52</v>
      </c>
      <c r="B56" s="124">
        <v>10.17</v>
      </c>
      <c r="C56" s="124">
        <v>5.64</v>
      </c>
      <c r="D56" s="124">
        <v>2.33</v>
      </c>
      <c r="E56" s="125">
        <v>1.86</v>
      </c>
      <c r="F56" s="124">
        <v>8.43</v>
      </c>
      <c r="G56" s="124">
        <v>4.67</v>
      </c>
      <c r="H56" s="124">
        <v>1.89</v>
      </c>
      <c r="I56" s="125">
        <v>1.5</v>
      </c>
      <c r="J56" s="124">
        <f>IF('Ekstra - Udfyld din profil'!$C$5="Mænd",E56,IF('Ekstra - Udfyld din profil'!$C$5="Kvinder",I56,""))</f>
        <v>1.86</v>
      </c>
      <c r="K56" s="124">
        <f>IF(AND(ISNUMBER('Ekstra - Udfyld din profil'!$G$5),ISNUMBER(J56)),ABS(J56-'Ekstra - Udfyld din profil'!$G$5),"")</f>
        <v>0.6399999999999999</v>
      </c>
      <c r="L56" s="251"/>
      <c r="M56" s="65"/>
      <c r="N56" s="65"/>
      <c r="O56" s="65"/>
      <c r="P56" s="65"/>
      <c r="Q56" s="65"/>
      <c r="R56" s="65"/>
      <c r="S56" s="65"/>
      <c r="T56" s="65"/>
      <c r="U56" s="65"/>
    </row>
    <row r="57" spans="1:21" s="5" customFormat="1" ht="24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</row>
    <row r="58" spans="1:21" ht="24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</row>
    <row r="59" spans="1:21" ht="24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</row>
    <row r="60" spans="1:21" ht="24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</row>
    <row r="61" spans="1:21" ht="24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</row>
    <row r="62" spans="1:21" ht="24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21" ht="24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</row>
    <row r="64" spans="1:21" ht="24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</row>
    <row r="65" spans="1:21" ht="24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</row>
    <row r="66" spans="1:21" ht="24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</row>
    <row r="67" spans="1:21" ht="24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</row>
    <row r="68" spans="1:21" ht="24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</row>
    <row r="69" spans="1:21" ht="24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</row>
    <row r="70" spans="1:21" ht="24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</row>
    <row r="71" spans="1:21" ht="24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</row>
    <row r="72" spans="1:21" ht="24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</row>
    <row r="73" spans="1:21" ht="24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</row>
    <row r="74" spans="1:21" ht="24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</row>
    <row r="75" spans="1:21" ht="24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21" ht="24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</row>
    <row r="77" spans="1:21" ht="24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</row>
    <row r="78" spans="1:21" ht="24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</row>
    <row r="79" spans="1:21" ht="24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</row>
    <row r="80" spans="1:21" ht="24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</row>
    <row r="81" spans="1:21" ht="24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</row>
    <row r="82" spans="1:21" ht="24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</row>
    <row r="83" spans="1:21" ht="24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21" ht="24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 ht="24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 ht="24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 ht="24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 ht="24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 ht="24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 ht="24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 ht="24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 ht="24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 ht="24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1" ht="24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</row>
    <row r="95" spans="1:21" ht="24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</row>
    <row r="96" spans="1:21" ht="24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 ht="24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</row>
    <row r="98" spans="1:21" ht="24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</row>
    <row r="99" spans="1:21" ht="24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</sheetData>
  <mergeCells count="8">
    <mergeCell ref="L37:L42"/>
    <mergeCell ref="L43:L49"/>
    <mergeCell ref="L50:L56"/>
    <mergeCell ref="L5:L11"/>
    <mergeCell ref="L12:L18"/>
    <mergeCell ref="L19:L24"/>
    <mergeCell ref="L25:L30"/>
    <mergeCell ref="L31:L36"/>
  </mergeCells>
  <pageMargins left="0.7" right="0.7" top="0.75" bottom="0.75" header="0.3" footer="0.3"/>
  <pageSetup paperSize="9" scale="54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35A66-FDD7-3140-8147-8FB51BB6147B}">
  <sheetPr>
    <tabColor rgb="FF28563D"/>
    <pageSetUpPr fitToPage="1"/>
  </sheetPr>
  <dimension ref="A1:U98"/>
  <sheetViews>
    <sheetView showGridLines="0" showRowColHeaders="0" zoomScaleNormal="100" workbookViewId="0">
      <pane ySplit="14" topLeftCell="A15" activePane="bottomLeft" state="frozen"/>
      <selection pane="bottomLeft" activeCell="C6" sqref="C6"/>
    </sheetView>
  </sheetViews>
  <sheetFormatPr defaultColWidth="8.83203125" defaultRowHeight="14"/>
  <cols>
    <col min="1" max="1" width="33.6640625" customWidth="1"/>
    <col min="2" max="9" width="13" customWidth="1"/>
    <col min="10" max="10" width="13.83203125" customWidth="1"/>
    <col min="11" max="21" width="13" customWidth="1"/>
  </cols>
  <sheetData>
    <row r="1" spans="1:21" ht="35" customHeight="1">
      <c r="A1" s="252" t="s">
        <v>241</v>
      </c>
      <c r="B1" s="252"/>
      <c r="C1" s="252"/>
      <c r="D1" s="252"/>
      <c r="E1" s="252"/>
      <c r="F1" s="252"/>
      <c r="G1" s="252"/>
      <c r="H1" s="252"/>
      <c r="I1" s="252"/>
      <c r="J1" s="252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ht="24" customHeight="1">
      <c r="A2" s="154" t="s">
        <v>274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ht="10" customHeigh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1" ht="24" customHeight="1" thickBot="1">
      <c r="A4" s="202" t="s">
        <v>242</v>
      </c>
      <c r="B4" s="155"/>
      <c r="C4" s="209" t="s">
        <v>243</v>
      </c>
      <c r="D4" s="64"/>
      <c r="E4" s="64"/>
      <c r="F4" s="64"/>
      <c r="G4" s="64"/>
      <c r="H4" s="64"/>
      <c r="I4" s="156" t="s">
        <v>244</v>
      </c>
      <c r="J4" s="65"/>
      <c r="K4" s="65"/>
      <c r="M4" s="64"/>
      <c r="N4" s="64"/>
      <c r="O4" s="64"/>
      <c r="P4" s="64"/>
      <c r="Q4" s="64"/>
      <c r="R4" s="64"/>
      <c r="S4" s="64"/>
      <c r="T4" s="64"/>
      <c r="U4" s="64"/>
    </row>
    <row r="5" spans="1:21" ht="21" customHeight="1" thickTop="1" thickBot="1">
      <c r="A5" s="65" t="s">
        <v>245</v>
      </c>
      <c r="B5" s="65"/>
      <c r="C5" s="203" t="s">
        <v>246</v>
      </c>
      <c r="D5" s="65"/>
      <c r="E5" s="65" t="s">
        <v>247</v>
      </c>
      <c r="F5" s="65"/>
      <c r="G5" s="208">
        <f>IF(AND(ISNUMBER(C6),ISNUMBER(C7),C6&gt;0,C7&gt;0),C7/C6,"")</f>
        <v>2.5</v>
      </c>
      <c r="H5" s="65"/>
      <c r="I5" s="157" t="s">
        <v>248</v>
      </c>
      <c r="J5" s="158"/>
      <c r="K5" s="159"/>
      <c r="M5" s="64"/>
      <c r="N5" s="64"/>
      <c r="O5" s="64"/>
      <c r="P5" s="64"/>
      <c r="Q5" s="64"/>
      <c r="R5" s="64"/>
      <c r="S5" s="64"/>
      <c r="T5" s="64"/>
      <c r="U5" s="64"/>
    </row>
    <row r="6" spans="1:21" ht="21" customHeight="1">
      <c r="A6" s="65" t="s">
        <v>249</v>
      </c>
      <c r="B6" s="65"/>
      <c r="C6" s="204">
        <v>80</v>
      </c>
      <c r="D6" s="65"/>
      <c r="E6" s="65"/>
      <c r="F6" s="65"/>
      <c r="G6" s="65"/>
      <c r="H6" s="65"/>
      <c r="I6" s="160" t="s">
        <v>250</v>
      </c>
      <c r="J6" s="65"/>
      <c r="K6" s="161"/>
      <c r="M6" s="64"/>
      <c r="N6" s="64"/>
      <c r="O6" s="64"/>
      <c r="P6" s="64"/>
      <c r="Q6" s="64"/>
      <c r="R6" s="64"/>
      <c r="S6" s="64"/>
      <c r="T6" s="64"/>
      <c r="U6" s="64"/>
    </row>
    <row r="7" spans="1:21" ht="21" customHeight="1">
      <c r="A7" s="65" t="s">
        <v>251</v>
      </c>
      <c r="B7" s="65"/>
      <c r="C7" s="205">
        <v>200</v>
      </c>
      <c r="D7" s="65"/>
      <c r="E7" s="65" t="s">
        <v>278</v>
      </c>
      <c r="F7" s="65"/>
      <c r="G7" s="111">
        <f>IF(AND(ISNUMBER(G5),OR(C5="Mænd",C5="Kvinder")),INDEX('FTP-niveauer og watt pr. kg'!J5:J56,MATCH(MIN('FTP-niveauer og watt pr. kg'!K5:K56),'FTP-niveauer og watt pr. kg'!K5:K56,0)),"")</f>
        <v>2.4900000000000002</v>
      </c>
      <c r="H7" s="65"/>
      <c r="I7" s="160" t="s">
        <v>252</v>
      </c>
      <c r="J7" s="65"/>
      <c r="K7" s="161"/>
      <c r="M7" s="64"/>
      <c r="N7" s="64"/>
      <c r="O7" s="64"/>
      <c r="P7" s="64"/>
      <c r="Q7" s="64"/>
      <c r="R7" s="64"/>
      <c r="S7" s="64"/>
      <c r="T7" s="64"/>
      <c r="U7" s="64"/>
    </row>
    <row r="8" spans="1:21" ht="21" customHeight="1" thickBot="1">
      <c r="A8" s="65" t="s">
        <v>253</v>
      </c>
      <c r="B8" s="65"/>
      <c r="C8" s="204">
        <v>2.75</v>
      </c>
      <c r="D8" s="65"/>
      <c r="E8" s="65" t="s">
        <v>279</v>
      </c>
      <c r="F8" s="65"/>
      <c r="G8" s="65"/>
      <c r="H8" s="65"/>
      <c r="I8" s="160" t="s">
        <v>254</v>
      </c>
      <c r="J8" s="65"/>
      <c r="K8" s="161"/>
      <c r="M8" s="64"/>
      <c r="N8" s="64"/>
      <c r="O8" s="64"/>
      <c r="P8" s="64"/>
      <c r="Q8" s="64"/>
      <c r="R8" s="64"/>
      <c r="S8" s="64"/>
      <c r="T8" s="64"/>
      <c r="U8" s="64"/>
    </row>
    <row r="9" spans="1:21" ht="21" customHeight="1" thickBot="1">
      <c r="A9" s="65" t="s">
        <v>255</v>
      </c>
      <c r="B9" s="65"/>
      <c r="C9" s="204">
        <v>76</v>
      </c>
      <c r="D9" s="65"/>
      <c r="E9" s="65" t="s">
        <v>256</v>
      </c>
      <c r="F9" s="65"/>
      <c r="G9" s="208">
        <f>IF(AND(ISNUMBER(G5),ISNUMBER(C11),C11&gt;0,C11&lt;=1),G5*C11,"")</f>
        <v>2.5</v>
      </c>
      <c r="H9" s="65"/>
      <c r="I9" s="160" t="s">
        <v>257</v>
      </c>
      <c r="J9" s="65"/>
      <c r="K9" s="161"/>
      <c r="M9" s="64"/>
      <c r="N9" s="64"/>
      <c r="O9" s="64"/>
      <c r="P9" s="64"/>
      <c r="Q9" s="64"/>
      <c r="R9" s="64"/>
      <c r="S9" s="64"/>
      <c r="T9" s="64"/>
      <c r="U9" s="64"/>
    </row>
    <row r="10" spans="1:21" ht="21" customHeight="1">
      <c r="A10" s="65" t="s">
        <v>258</v>
      </c>
      <c r="B10" s="65"/>
      <c r="C10" s="205">
        <v>215</v>
      </c>
      <c r="D10" s="65"/>
      <c r="E10" s="65"/>
      <c r="F10" s="65"/>
      <c r="G10" s="65"/>
      <c r="H10" s="65"/>
      <c r="I10" s="160" t="s">
        <v>259</v>
      </c>
      <c r="J10" s="65"/>
      <c r="K10" s="161"/>
      <c r="M10" s="64"/>
      <c r="N10" s="64"/>
      <c r="O10" s="64"/>
      <c r="P10" s="64"/>
      <c r="Q10" s="64"/>
      <c r="R10" s="64"/>
      <c r="S10" s="64"/>
      <c r="T10" s="64"/>
      <c r="U10" s="64"/>
    </row>
    <row r="11" spans="1:21" ht="21" customHeight="1" thickBot="1">
      <c r="A11" s="65" t="s">
        <v>260</v>
      </c>
      <c r="B11" s="65"/>
      <c r="C11" s="206">
        <v>1</v>
      </c>
      <c r="D11" s="65"/>
      <c r="E11" s="65" t="s">
        <v>261</v>
      </c>
      <c r="F11" s="65"/>
      <c r="G11" s="65"/>
      <c r="H11" s="65"/>
      <c r="I11" s="162" t="s">
        <v>262</v>
      </c>
      <c r="J11" s="163"/>
      <c r="K11" s="164"/>
      <c r="M11" s="64"/>
      <c r="N11" s="64"/>
      <c r="O11" s="64"/>
      <c r="P11" s="64"/>
      <c r="Q11" s="64"/>
      <c r="R11" s="64"/>
      <c r="S11" s="64"/>
      <c r="T11" s="64"/>
      <c r="U11" s="64"/>
    </row>
    <row r="12" spans="1:21" ht="21" customHeight="1" thickTop="1">
      <c r="A12" s="65" t="s">
        <v>263</v>
      </c>
      <c r="B12" s="65"/>
      <c r="C12" s="207">
        <v>10</v>
      </c>
      <c r="D12" s="65"/>
      <c r="E12" s="65"/>
      <c r="F12" s="65"/>
      <c r="G12" s="65"/>
      <c r="H12" s="65"/>
      <c r="I12" s="65"/>
      <c r="M12" s="64"/>
      <c r="N12" s="64"/>
      <c r="O12" s="64"/>
      <c r="P12" s="64"/>
      <c r="Q12" s="64"/>
      <c r="R12" s="64"/>
      <c r="S12" s="64"/>
      <c r="T12" s="64"/>
      <c r="U12" s="64"/>
    </row>
    <row r="13" spans="1:21" ht="13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4"/>
      <c r="N13" s="64"/>
      <c r="O13" s="64"/>
      <c r="P13" s="64"/>
      <c r="Q13" s="64"/>
      <c r="R13" s="64"/>
      <c r="S13" s="64"/>
      <c r="T13" s="64"/>
      <c r="U13" s="64"/>
    </row>
    <row r="14" spans="1:21" ht="24" customHeight="1">
      <c r="A14" s="165" t="s">
        <v>280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4"/>
      <c r="N14" s="64"/>
      <c r="O14" s="64"/>
      <c r="P14" s="64"/>
      <c r="Q14" s="64"/>
      <c r="R14" s="64"/>
      <c r="S14" s="64"/>
      <c r="T14" s="64"/>
      <c r="U14" s="64"/>
    </row>
    <row r="15" spans="1:21" ht="13" customHeight="1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4"/>
      <c r="N15" s="64"/>
      <c r="O15" s="64"/>
      <c r="P15" s="64"/>
      <c r="Q15" s="64"/>
      <c r="R15" s="64"/>
      <c r="S15" s="64"/>
      <c r="T15" s="64"/>
      <c r="U15" s="64"/>
    </row>
    <row r="16" spans="1:21" ht="36" customHeight="1">
      <c r="A16" s="166" t="s">
        <v>264</v>
      </c>
      <c r="B16" s="167" t="s">
        <v>17</v>
      </c>
      <c r="C16" s="167" t="s">
        <v>78</v>
      </c>
      <c r="D16" s="167" t="s">
        <v>19</v>
      </c>
      <c r="E16" s="167" t="s">
        <v>265</v>
      </c>
      <c r="F16" s="167" t="s">
        <v>266</v>
      </c>
      <c r="G16" s="167" t="s">
        <v>80</v>
      </c>
      <c r="H16" s="168" t="s">
        <v>267</v>
      </c>
      <c r="I16" s="65"/>
      <c r="J16" s="65"/>
      <c r="K16" s="65"/>
      <c r="L16" s="64"/>
      <c r="M16" s="64"/>
      <c r="N16" s="64"/>
      <c r="O16" s="64"/>
      <c r="P16" s="64"/>
      <c r="Q16" s="64"/>
      <c r="R16" s="64"/>
      <c r="S16" s="64"/>
      <c r="T16" s="64"/>
      <c r="U16" s="64"/>
    </row>
    <row r="17" spans="1:21" ht="21" customHeight="1">
      <c r="A17" s="69" t="s">
        <v>171</v>
      </c>
      <c r="B17" s="169">
        <f>C6</f>
        <v>80</v>
      </c>
      <c r="C17" s="169">
        <f>C7</f>
        <v>200</v>
      </c>
      <c r="D17" s="169">
        <f>IF(AND(ISNUMBER(B17),ISNUMBER(C17),B17&gt;0,C17&gt;0),C17/B17,"")</f>
        <v>2.5</v>
      </c>
      <c r="E17" s="170">
        <f>IF(AND(ISNUMBER(D17),ISNUMBER($C$7)),C17-$C$7,"")</f>
        <v>0</v>
      </c>
      <c r="F17" s="170">
        <f>IF(AND(ISNUMBER(D17),ISNUMBER($C$6)),B17-$C$6,"")</f>
        <v>0</v>
      </c>
      <c r="G17" s="171">
        <f>IF(AND(ISNUMBER(D17),ISNUMBER($C$11),$C$11&gt;0,$C$11&lt;=1),D17*$C$11,"")</f>
        <v>2.5</v>
      </c>
      <c r="H17" s="172">
        <f>IF(ISNUMBER('Forudsætninger og beregninger'!T16),ROUND('Forudsætninger og beregninger'!T16*1440,0)/1440,"")</f>
        <v>6.25E-2</v>
      </c>
      <c r="I17" s="65"/>
      <c r="J17" s="65"/>
      <c r="K17" s="65"/>
      <c r="L17" s="64"/>
      <c r="M17" s="64"/>
      <c r="N17" s="64"/>
      <c r="O17" s="64"/>
      <c r="P17" s="64"/>
      <c r="Q17" s="64"/>
      <c r="R17" s="64"/>
      <c r="S17" s="64"/>
      <c r="T17" s="64"/>
      <c r="U17" s="64"/>
    </row>
    <row r="18" spans="1:21" ht="21" customHeight="1">
      <c r="A18" s="73" t="s">
        <v>172</v>
      </c>
      <c r="B18" s="111">
        <f>C6</f>
        <v>80</v>
      </c>
      <c r="C18" s="111">
        <f>IF(AND(ISNUMBER(C8),ISNUMBER(C6),C8&gt;0,C6&gt;0),C8*C6,"")</f>
        <v>220</v>
      </c>
      <c r="D18" s="111">
        <f>IF(AND(ISNUMBER(B18),ISNUMBER(C18),B18&gt;0,C18&gt;0),C18/B18,"")</f>
        <v>2.75</v>
      </c>
      <c r="E18" s="173">
        <f>IF(AND(ISNUMBER(D18),ISNUMBER($C$7)),C18-$C$7,"")</f>
        <v>20</v>
      </c>
      <c r="F18" s="173">
        <f>IF(AND(ISNUMBER(D18),ISNUMBER($C$6)),B18-$C$6,"")</f>
        <v>0</v>
      </c>
      <c r="G18" s="174">
        <f>IF(AND(ISNUMBER(D18),ISNUMBER($C$11),$C$11&gt;0,$C$11&lt;=1),D18*$C$11,"")</f>
        <v>2.75</v>
      </c>
      <c r="H18" s="175">
        <f>IF(ISNUMBER('Forudsætninger og beregninger'!T17),ROUND('Forudsætninger og beregninger'!T17*1440,0)/1440,"")</f>
        <v>5.6944444444444443E-2</v>
      </c>
      <c r="I18" s="65"/>
      <c r="J18" s="65"/>
      <c r="K18" s="65"/>
      <c r="L18" s="64"/>
      <c r="M18" s="64"/>
      <c r="N18" s="64"/>
      <c r="O18" s="64"/>
      <c r="P18" s="64"/>
      <c r="Q18" s="64"/>
      <c r="R18" s="64"/>
      <c r="S18" s="64"/>
      <c r="T18" s="64"/>
      <c r="U18" s="64"/>
    </row>
    <row r="19" spans="1:21" ht="21" customHeight="1">
      <c r="A19" s="73" t="s">
        <v>173</v>
      </c>
      <c r="B19" s="111">
        <f>IF(AND(ISNUMBER(C7),ISNUMBER(C8),C7&gt;0,C8&gt;0),C7/C8,"")</f>
        <v>72.727272727272734</v>
      </c>
      <c r="C19" s="111">
        <f>C7</f>
        <v>200</v>
      </c>
      <c r="D19" s="111">
        <f>IF(AND(ISNUMBER(B19),ISNUMBER(C19),B19&gt;0,C19&gt;0),C19/B19,"")</f>
        <v>2.7499999999999996</v>
      </c>
      <c r="E19" s="173">
        <f>IF(AND(ISNUMBER(D19),ISNUMBER($C$7)),C19-$C$7,"")</f>
        <v>0</v>
      </c>
      <c r="F19" s="173">
        <f>IF(AND(ISNUMBER(D19),ISNUMBER($C$6)),B19-$C$6,"")</f>
        <v>-7.2727272727272663</v>
      </c>
      <c r="G19" s="174">
        <f>IF(AND(ISNUMBER(D19),ISNUMBER($C$11),$C$11&gt;0,$C$11&lt;=1),D19*$C$11,"")</f>
        <v>2.7499999999999996</v>
      </c>
      <c r="H19" s="175">
        <f>IF(ISNUMBER('Forudsætninger og beregninger'!T18),ROUND('Forudsætninger og beregninger'!T18*1440,0)/1440,"")</f>
        <v>5.7638888888888892E-2</v>
      </c>
      <c r="I19" s="65"/>
      <c r="J19" s="65"/>
      <c r="K19" s="65"/>
      <c r="L19" s="64"/>
      <c r="M19" s="64"/>
      <c r="N19" s="64"/>
      <c r="O19" s="64"/>
      <c r="P19" s="64"/>
      <c r="Q19" s="64"/>
      <c r="R19" s="64"/>
      <c r="S19" s="64"/>
      <c r="T19" s="64"/>
      <c r="U19" s="64"/>
    </row>
    <row r="20" spans="1:21" ht="21" customHeight="1">
      <c r="A20" s="176" t="s">
        <v>174</v>
      </c>
      <c r="B20" s="177">
        <f>C9</f>
        <v>76</v>
      </c>
      <c r="C20" s="177">
        <f>C10</f>
        <v>215</v>
      </c>
      <c r="D20" s="177">
        <f>IF(AND(ISNUMBER(B20),ISNUMBER(C20),B20&gt;0,C20&gt;0),C20/B20,"")</f>
        <v>2.8289473684210527</v>
      </c>
      <c r="E20" s="178">
        <f>IF(AND(ISNUMBER(D20),ISNUMBER($C$7)),C20-$C$7,"")</f>
        <v>15</v>
      </c>
      <c r="F20" s="178">
        <f>IF(AND(ISNUMBER(D20),ISNUMBER($C$6)),B20-$C$6,"")</f>
        <v>-4</v>
      </c>
      <c r="G20" s="179">
        <f>IF(AND(ISNUMBER(D20),ISNUMBER($C$11),$C$11&gt;0,$C$11&lt;=1),D20*$C$11,"")</f>
        <v>2.8289473684210527</v>
      </c>
      <c r="H20" s="180">
        <f>IF(ISNUMBER('Forudsætninger og beregninger'!T19),ROUND('Forudsætninger og beregninger'!T19*1440,0)/1440,"")</f>
        <v>5.5555555555555552E-2</v>
      </c>
      <c r="I20" s="65"/>
      <c r="J20" s="65"/>
      <c r="K20" s="65"/>
      <c r="L20" s="64"/>
      <c r="M20" s="64"/>
      <c r="N20" s="64"/>
      <c r="O20" s="64"/>
      <c r="P20" s="64"/>
      <c r="Q20" s="64"/>
      <c r="R20" s="64"/>
      <c r="S20" s="64"/>
      <c r="T20" s="64"/>
      <c r="U20" s="64"/>
    </row>
    <row r="21" spans="1:21" ht="24" customHeight="1">
      <c r="A21" s="65" t="s">
        <v>268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4"/>
      <c r="M21" s="64"/>
      <c r="N21" s="64"/>
      <c r="O21" s="64"/>
      <c r="P21" s="64"/>
      <c r="Q21" s="64"/>
      <c r="R21" s="64"/>
      <c r="S21" s="64"/>
      <c r="T21" s="64"/>
      <c r="U21" s="64"/>
    </row>
    <row r="22" spans="1:21" ht="8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4"/>
      <c r="M22" s="64"/>
      <c r="N22" s="64"/>
      <c r="O22" s="64"/>
      <c r="P22" s="64"/>
      <c r="Q22" s="64"/>
      <c r="R22" s="64"/>
      <c r="S22" s="64"/>
      <c r="T22" s="64"/>
      <c r="U22" s="64"/>
    </row>
    <row r="23" spans="1:21" ht="24" customHeight="1">
      <c r="A23" s="181" t="s">
        <v>269</v>
      </c>
      <c r="B23" s="65"/>
      <c r="C23" s="65"/>
      <c r="D23" s="65"/>
      <c r="E23" s="65"/>
      <c r="F23" s="65"/>
      <c r="G23" s="65"/>
      <c r="H23" s="65"/>
      <c r="I23" s="65"/>
      <c r="J23" s="65"/>
      <c r="L23" s="64"/>
      <c r="M23" s="64"/>
      <c r="N23" s="64"/>
      <c r="O23" s="64"/>
      <c r="P23" s="64"/>
      <c r="Q23" s="64"/>
      <c r="R23" s="64"/>
      <c r="S23" s="64"/>
      <c r="T23" s="64"/>
      <c r="U23" s="64"/>
    </row>
    <row r="24" spans="1:21" ht="36" customHeight="1">
      <c r="A24" s="182" t="s">
        <v>270</v>
      </c>
      <c r="B24" s="183">
        <f>IF(ISNUMBER($C$7),$C$7+-20,"")</f>
        <v>180</v>
      </c>
      <c r="C24" s="183">
        <f>IF(ISNUMBER($C$7),$C$7+-10,"")</f>
        <v>190</v>
      </c>
      <c r="D24" s="183">
        <f>IF(ISNUMBER($C$7),$C$7+0,"")</f>
        <v>200</v>
      </c>
      <c r="E24" s="183">
        <f>IF(ISNUMBER($C$7),$C$7+10,"")</f>
        <v>210</v>
      </c>
      <c r="F24" s="183">
        <f>IF(ISNUMBER($C$7),$C$7+20,"")</f>
        <v>220</v>
      </c>
      <c r="G24" s="183">
        <f>IF(ISNUMBER($C$7),$C$7+30,"")</f>
        <v>230</v>
      </c>
      <c r="H24" s="183">
        <f>IF(ISNUMBER($C$7),$C$7+40,"")</f>
        <v>240</v>
      </c>
      <c r="I24" s="183">
        <f>IF(ISNUMBER($C$7),$C$7+50,"")</f>
        <v>250</v>
      </c>
      <c r="J24" s="184">
        <f>IF(ISNUMBER($C$7),$C$7+60,"")</f>
        <v>260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</row>
    <row r="25" spans="1:21" ht="22" customHeight="1">
      <c r="A25" s="185">
        <f>IF(ISNUMBER($C$6),$C$6+4,"")</f>
        <v>84</v>
      </c>
      <c r="B25" s="186">
        <f t="shared" ref="B25:J33" si="0">IF(AND(ISNUMBER($A25),ISNUMBER(B$24),$A25&gt;0,B$24&gt;0),B$24/$A25,"")</f>
        <v>2.1428571428571428</v>
      </c>
      <c r="C25" s="186">
        <f t="shared" si="0"/>
        <v>2.2619047619047619</v>
      </c>
      <c r="D25" s="186">
        <f t="shared" si="0"/>
        <v>2.3809523809523809</v>
      </c>
      <c r="E25" s="186">
        <f t="shared" si="0"/>
        <v>2.5</v>
      </c>
      <c r="F25" s="186">
        <f t="shared" si="0"/>
        <v>2.6190476190476191</v>
      </c>
      <c r="G25" s="186">
        <f t="shared" si="0"/>
        <v>2.7380952380952381</v>
      </c>
      <c r="H25" s="186">
        <f t="shared" si="0"/>
        <v>2.8571428571428572</v>
      </c>
      <c r="I25" s="186">
        <f t="shared" si="0"/>
        <v>2.9761904761904763</v>
      </c>
      <c r="J25" s="187">
        <f t="shared" si="0"/>
        <v>3.0952380952380953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</row>
    <row r="26" spans="1:21" ht="22" customHeight="1">
      <c r="A26" s="188">
        <f>IF(ISNUMBER($C$6),$C$6+3,"")</f>
        <v>83</v>
      </c>
      <c r="B26" s="111">
        <f t="shared" si="0"/>
        <v>2.1686746987951806</v>
      </c>
      <c r="C26" s="111">
        <f t="shared" si="0"/>
        <v>2.2891566265060241</v>
      </c>
      <c r="D26" s="111">
        <f t="shared" si="0"/>
        <v>2.4096385542168677</v>
      </c>
      <c r="E26" s="111">
        <f t="shared" si="0"/>
        <v>2.5301204819277108</v>
      </c>
      <c r="F26" s="111">
        <f t="shared" si="0"/>
        <v>2.6506024096385543</v>
      </c>
      <c r="G26" s="111">
        <f t="shared" si="0"/>
        <v>2.7710843373493974</v>
      </c>
      <c r="H26" s="111">
        <f t="shared" si="0"/>
        <v>2.8915662650602409</v>
      </c>
      <c r="I26" s="111">
        <f t="shared" si="0"/>
        <v>3.0120481927710845</v>
      </c>
      <c r="J26" s="189">
        <f t="shared" si="0"/>
        <v>3.1325301204819276</v>
      </c>
      <c r="L26" s="64"/>
      <c r="M26" s="64"/>
      <c r="N26" s="64"/>
      <c r="O26" s="64"/>
      <c r="P26" s="64"/>
      <c r="Q26" s="64"/>
      <c r="R26" s="64"/>
      <c r="S26" s="64"/>
      <c r="T26" s="64"/>
      <c r="U26" s="64"/>
    </row>
    <row r="27" spans="1:21" ht="22" customHeight="1">
      <c r="A27" s="188">
        <f>IF(ISNUMBER($C$6),$C$6+2,"")</f>
        <v>82</v>
      </c>
      <c r="B27" s="111">
        <f t="shared" si="0"/>
        <v>2.1951219512195124</v>
      </c>
      <c r="C27" s="111">
        <f t="shared" si="0"/>
        <v>2.3170731707317072</v>
      </c>
      <c r="D27" s="111">
        <f t="shared" si="0"/>
        <v>2.4390243902439024</v>
      </c>
      <c r="E27" s="111">
        <f t="shared" si="0"/>
        <v>2.5609756097560976</v>
      </c>
      <c r="F27" s="111">
        <f t="shared" si="0"/>
        <v>2.6829268292682928</v>
      </c>
      <c r="G27" s="111">
        <f t="shared" si="0"/>
        <v>2.8048780487804876</v>
      </c>
      <c r="H27" s="111">
        <f t="shared" si="0"/>
        <v>2.9268292682926829</v>
      </c>
      <c r="I27" s="111">
        <f t="shared" si="0"/>
        <v>3.0487804878048781</v>
      </c>
      <c r="J27" s="189">
        <f t="shared" si="0"/>
        <v>3.1707317073170733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</row>
    <row r="28" spans="1:21" ht="22" customHeight="1" thickBot="1">
      <c r="A28" s="188">
        <f>IF(ISNUMBER($C$6),$C$6+1,"")</f>
        <v>81</v>
      </c>
      <c r="B28" s="111">
        <f t="shared" si="0"/>
        <v>2.2222222222222223</v>
      </c>
      <c r="C28" s="111">
        <f t="shared" si="0"/>
        <v>2.3456790123456792</v>
      </c>
      <c r="D28" s="111">
        <f t="shared" si="0"/>
        <v>2.4691358024691357</v>
      </c>
      <c r="E28" s="111">
        <f t="shared" si="0"/>
        <v>2.5925925925925926</v>
      </c>
      <c r="F28" s="111">
        <f t="shared" si="0"/>
        <v>2.7160493827160495</v>
      </c>
      <c r="G28" s="111">
        <f t="shared" si="0"/>
        <v>2.8395061728395063</v>
      </c>
      <c r="H28" s="111">
        <f t="shared" si="0"/>
        <v>2.9629629629629628</v>
      </c>
      <c r="I28" s="111">
        <f t="shared" si="0"/>
        <v>3.0864197530864197</v>
      </c>
      <c r="J28" s="189">
        <f t="shared" si="0"/>
        <v>3.2098765432098766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</row>
    <row r="29" spans="1:21" ht="22" customHeight="1" thickBot="1">
      <c r="A29" s="188">
        <f>IF(ISNUMBER($C$6),$C$6+0,"")</f>
        <v>80</v>
      </c>
      <c r="B29" s="111">
        <f t="shared" si="0"/>
        <v>2.25</v>
      </c>
      <c r="C29" s="111">
        <f t="shared" si="0"/>
        <v>2.375</v>
      </c>
      <c r="D29" s="190">
        <f t="shared" si="0"/>
        <v>2.5</v>
      </c>
      <c r="E29" s="111">
        <f t="shared" si="0"/>
        <v>2.625</v>
      </c>
      <c r="F29" s="111">
        <f t="shared" si="0"/>
        <v>2.75</v>
      </c>
      <c r="G29" s="111">
        <f t="shared" si="0"/>
        <v>2.875</v>
      </c>
      <c r="H29" s="111">
        <f t="shared" si="0"/>
        <v>3</v>
      </c>
      <c r="I29" s="111">
        <f t="shared" si="0"/>
        <v>3.125</v>
      </c>
      <c r="J29" s="189">
        <f t="shared" si="0"/>
        <v>3.25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</row>
    <row r="30" spans="1:21" ht="22" customHeight="1">
      <c r="A30" s="188">
        <f>IF(ISNUMBER($C$6),$C$6+-1,"")</f>
        <v>79</v>
      </c>
      <c r="B30" s="111">
        <f t="shared" si="0"/>
        <v>2.278481012658228</v>
      </c>
      <c r="C30" s="111">
        <f t="shared" si="0"/>
        <v>2.4050632911392404</v>
      </c>
      <c r="D30" s="111">
        <f t="shared" si="0"/>
        <v>2.5316455696202533</v>
      </c>
      <c r="E30" s="111">
        <f t="shared" si="0"/>
        <v>2.6582278481012658</v>
      </c>
      <c r="F30" s="111">
        <f t="shared" si="0"/>
        <v>2.7848101265822787</v>
      </c>
      <c r="G30" s="111">
        <f t="shared" si="0"/>
        <v>2.9113924050632911</v>
      </c>
      <c r="H30" s="111">
        <f t="shared" si="0"/>
        <v>3.037974683544304</v>
      </c>
      <c r="I30" s="111">
        <f t="shared" si="0"/>
        <v>3.1645569620253164</v>
      </c>
      <c r="J30" s="189">
        <f t="shared" si="0"/>
        <v>3.2911392405063293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ht="22" customHeight="1">
      <c r="A31" s="188">
        <f>IF(ISNUMBER($C$6),$C$6+-2,"")</f>
        <v>78</v>
      </c>
      <c r="B31" s="111">
        <f t="shared" si="0"/>
        <v>2.3076923076923075</v>
      </c>
      <c r="C31" s="111">
        <f t="shared" si="0"/>
        <v>2.4358974358974357</v>
      </c>
      <c r="D31" s="111">
        <f t="shared" si="0"/>
        <v>2.5641025641025643</v>
      </c>
      <c r="E31" s="111">
        <f t="shared" si="0"/>
        <v>2.6923076923076925</v>
      </c>
      <c r="F31" s="111">
        <f t="shared" si="0"/>
        <v>2.8205128205128207</v>
      </c>
      <c r="G31" s="111">
        <f t="shared" si="0"/>
        <v>2.9487179487179489</v>
      </c>
      <c r="H31" s="111">
        <f t="shared" si="0"/>
        <v>3.0769230769230771</v>
      </c>
      <c r="I31" s="111">
        <f t="shared" si="0"/>
        <v>3.2051282051282053</v>
      </c>
      <c r="J31" s="189">
        <f t="shared" si="0"/>
        <v>3.3333333333333335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</row>
    <row r="32" spans="1:21" ht="22" customHeight="1">
      <c r="A32" s="188">
        <f>IF(ISNUMBER($C$6),$C$6+-3,"")</f>
        <v>77</v>
      </c>
      <c r="B32" s="111">
        <f t="shared" si="0"/>
        <v>2.3376623376623376</v>
      </c>
      <c r="C32" s="111">
        <f t="shared" si="0"/>
        <v>2.4675324675324677</v>
      </c>
      <c r="D32" s="111">
        <f t="shared" si="0"/>
        <v>2.5974025974025974</v>
      </c>
      <c r="E32" s="111">
        <f t="shared" si="0"/>
        <v>2.7272727272727271</v>
      </c>
      <c r="F32" s="111">
        <f t="shared" si="0"/>
        <v>2.8571428571428572</v>
      </c>
      <c r="G32" s="111">
        <f t="shared" si="0"/>
        <v>2.9870129870129869</v>
      </c>
      <c r="H32" s="111">
        <f t="shared" si="0"/>
        <v>3.116883116883117</v>
      </c>
      <c r="I32" s="111">
        <f t="shared" si="0"/>
        <v>3.2467532467532467</v>
      </c>
      <c r="J32" s="189">
        <f t="shared" si="0"/>
        <v>3.3766233766233764</v>
      </c>
      <c r="L32" s="64"/>
      <c r="M32" s="64"/>
      <c r="N32" s="64"/>
      <c r="O32" s="64"/>
      <c r="P32" s="64"/>
      <c r="Q32" s="64"/>
      <c r="R32" s="64"/>
      <c r="S32" s="64"/>
      <c r="T32" s="64"/>
      <c r="U32" s="64"/>
    </row>
    <row r="33" spans="1:21" ht="22" customHeight="1">
      <c r="A33" s="191">
        <f>IF(ISNUMBER($C$6),$C$6+-4,"")</f>
        <v>76</v>
      </c>
      <c r="B33" s="124">
        <f t="shared" si="0"/>
        <v>2.3684210526315788</v>
      </c>
      <c r="C33" s="124">
        <f t="shared" si="0"/>
        <v>2.5</v>
      </c>
      <c r="D33" s="124">
        <f t="shared" si="0"/>
        <v>2.6315789473684212</v>
      </c>
      <c r="E33" s="124">
        <f t="shared" si="0"/>
        <v>2.763157894736842</v>
      </c>
      <c r="F33" s="124">
        <f t="shared" si="0"/>
        <v>2.8947368421052633</v>
      </c>
      <c r="G33" s="124">
        <f t="shared" si="0"/>
        <v>3.0263157894736841</v>
      </c>
      <c r="H33" s="124">
        <f t="shared" si="0"/>
        <v>3.1578947368421053</v>
      </c>
      <c r="I33" s="124">
        <f t="shared" si="0"/>
        <v>3.2894736842105261</v>
      </c>
      <c r="J33" s="192">
        <f t="shared" si="0"/>
        <v>3.4210526315789473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</row>
    <row r="34" spans="1:21" ht="6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4"/>
      <c r="M34" s="64"/>
      <c r="N34" s="64"/>
      <c r="O34" s="64"/>
      <c r="P34" s="64"/>
      <c r="Q34" s="64"/>
      <c r="R34" s="64"/>
      <c r="S34" s="64"/>
      <c r="T34" s="64"/>
      <c r="U34" s="64"/>
    </row>
    <row r="35" spans="1:21" ht="24" customHeight="1">
      <c r="A35" s="65" t="s">
        <v>271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4"/>
      <c r="M35" s="64"/>
      <c r="N35" s="64"/>
      <c r="O35" s="64"/>
      <c r="P35" s="64"/>
      <c r="Q35" s="64"/>
      <c r="R35" s="64"/>
      <c r="S35" s="64"/>
      <c r="T35" s="64"/>
      <c r="U35" s="64"/>
    </row>
    <row r="36" spans="1:21" ht="24" customHeight="1">
      <c r="A36" s="65" t="s">
        <v>272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4"/>
      <c r="M36" s="64"/>
      <c r="N36" s="64"/>
      <c r="O36" s="64"/>
      <c r="P36" s="64"/>
      <c r="Q36" s="64"/>
      <c r="R36" s="64"/>
      <c r="S36" s="64"/>
      <c r="T36" s="64"/>
      <c r="U36" s="64"/>
    </row>
    <row r="37" spans="1:21" ht="24" customHeight="1">
      <c r="A37" s="65" t="s">
        <v>273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4"/>
      <c r="M37" s="64"/>
      <c r="N37" s="64"/>
      <c r="O37" s="64"/>
      <c r="P37" s="64"/>
      <c r="Q37" s="64"/>
      <c r="R37" s="64"/>
      <c r="S37" s="64"/>
      <c r="T37" s="64"/>
      <c r="U37" s="64"/>
    </row>
    <row r="38" spans="1:21" ht="24" customHeight="1">
      <c r="E38" s="65"/>
      <c r="F38" s="65"/>
      <c r="G38" s="65"/>
      <c r="H38" s="65"/>
      <c r="I38" s="65"/>
      <c r="J38" s="65"/>
      <c r="K38" s="65"/>
      <c r="L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1:21" ht="24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</row>
    <row r="40" spans="1:21" ht="24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</row>
    <row r="41" spans="1:21" ht="24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</row>
    <row r="42" spans="1:21" ht="24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</row>
    <row r="43" spans="1:21" ht="24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</row>
    <row r="44" spans="1:21" ht="24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</row>
    <row r="45" spans="1:21" ht="24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</row>
    <row r="46" spans="1:21" ht="24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</row>
    <row r="47" spans="1:21" ht="24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</row>
    <row r="48" spans="1:21" ht="24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</row>
    <row r="49" spans="1:21" ht="24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</row>
    <row r="50" spans="1:21" ht="24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</row>
    <row r="51" spans="1:21" ht="24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</row>
    <row r="52" spans="1:21" ht="24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</row>
    <row r="53" spans="1:21" ht="24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</row>
    <row r="54" spans="1:21" ht="24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</row>
    <row r="55" spans="1:21" ht="24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</row>
    <row r="56" spans="1:21" ht="24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</row>
    <row r="57" spans="1:21" ht="24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</row>
    <row r="58" spans="1:21" ht="24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</row>
    <row r="59" spans="1:21" ht="24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</row>
    <row r="60" spans="1:21" ht="24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</row>
    <row r="61" spans="1:21" ht="24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</row>
    <row r="62" spans="1:21" ht="24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21" ht="24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</row>
    <row r="64" spans="1:21" ht="24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</row>
    <row r="65" spans="1:21" ht="24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</row>
    <row r="66" spans="1:21" ht="24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</row>
    <row r="67" spans="1:21" ht="24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</row>
    <row r="68" spans="1:21" ht="24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</row>
    <row r="69" spans="1:21" ht="24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</row>
    <row r="70" spans="1:21" ht="24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</row>
    <row r="71" spans="1:21" ht="24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</row>
    <row r="72" spans="1:21" ht="24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</row>
    <row r="73" spans="1:21" ht="24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</row>
    <row r="74" spans="1:21" ht="24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</row>
    <row r="75" spans="1:21" ht="24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21" ht="24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</row>
    <row r="77" spans="1:21" ht="24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</row>
    <row r="78" spans="1:21" ht="24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</row>
    <row r="79" spans="1:21" ht="24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</row>
    <row r="80" spans="1:21" ht="24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</row>
    <row r="81" spans="1:21" ht="24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</row>
    <row r="82" spans="1:21" ht="24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</row>
    <row r="83" spans="1:21" ht="24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21" ht="24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 ht="24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 ht="24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 ht="24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 ht="24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 ht="24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 ht="24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 ht="24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 ht="24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 ht="24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1" ht="24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</row>
    <row r="95" spans="1:21" ht="24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</row>
    <row r="96" spans="1:21" ht="24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 ht="24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</row>
    <row r="98" spans="1:21" ht="24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</row>
  </sheetData>
  <mergeCells count="1">
    <mergeCell ref="A1:J1"/>
  </mergeCells>
  <conditionalFormatting sqref="B25:J33">
    <cfRule type="expression" dxfId="0" priority="1">
      <formula>AND(ISNUMBER(B25),ISNUMBER($C$8),B25&gt;=$C$8)</formula>
    </cfRule>
  </conditionalFormatting>
  <dataValidations count="6">
    <dataValidation type="decimal" sqref="C12" xr:uid="{208DE42A-0E75-BF40-834E-5338FF4D600A}">
      <formula1>0</formula1>
      <formula2>40</formula2>
    </dataValidation>
    <dataValidation type="decimal" sqref="C11" xr:uid="{46786BC7-BD43-0449-8753-04BF30D3442E}">
      <formula1>0.5</formula1>
      <formula2>1</formula2>
    </dataValidation>
    <dataValidation type="decimal" sqref="C8" xr:uid="{8A3CE87D-9C0E-674F-81A0-7122188ED9DA}">
      <formula1>0.5</formula1>
      <formula2>8</formula2>
    </dataValidation>
    <dataValidation type="decimal" sqref="C7 C10" xr:uid="{A5EFA6D7-DB56-DF4D-8EF8-CA32F22A48D9}">
      <formula1>50</formula1>
      <formula2>800</formula2>
    </dataValidation>
    <dataValidation type="decimal" sqref="C6 C9" xr:uid="{70FA4812-57E2-3644-9121-E65F00243F5E}">
      <formula1>30</formula1>
      <formula2>200</formula2>
    </dataValidation>
    <dataValidation type="list" sqref="C5" xr:uid="{4C3E1788-1D9D-8440-9B09-3AD1D9DCAB1E}">
      <formula1>"Mænd,Kvinder"</formula1>
    </dataValidation>
  </dataValidations>
  <pageMargins left="0.7" right="0.7" top="0.75" bottom="0.75" header="0.3" footer="0.3"/>
  <pageSetup paperSize="9" scale="56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0BF9-566A-1D4E-94DB-BC5589BD44B6}">
  <sheetPr>
    <tabColor theme="5"/>
    <pageSetUpPr fitToPage="1"/>
  </sheetPr>
  <dimension ref="A1:U92"/>
  <sheetViews>
    <sheetView showGridLines="0" showRowColHeaders="0" zoomScaleNormal="100" workbookViewId="0">
      <pane ySplit="10" topLeftCell="A11" activePane="bottomLeft" state="frozen"/>
      <selection pane="bottomLeft" activeCell="K5" sqref="K5"/>
    </sheetView>
  </sheetViews>
  <sheetFormatPr defaultColWidth="8.83203125" defaultRowHeight="14"/>
  <cols>
    <col min="1" max="1" width="27" customWidth="1"/>
    <col min="2" max="21" width="13" customWidth="1"/>
  </cols>
  <sheetData>
    <row r="1" spans="1:21" ht="35" customHeight="1">
      <c r="A1" s="63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s="5" customFormat="1" ht="13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s="5" customFormat="1" ht="24" customHeight="1">
      <c r="A3" s="65" t="s">
        <v>75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1" s="5" customFormat="1" ht="24" customHeight="1">
      <c r="A4" s="65" t="s">
        <v>76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1" s="5" customFormat="1" ht="13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</row>
    <row r="6" spans="1:21" s="5" customFormat="1" ht="36" customHeight="1">
      <c r="A6" s="66" t="s">
        <v>77</v>
      </c>
      <c r="B6" s="67" t="s">
        <v>17</v>
      </c>
      <c r="C6" s="67" t="s">
        <v>78</v>
      </c>
      <c r="D6" s="67" t="s">
        <v>19</v>
      </c>
      <c r="E6" s="67" t="s">
        <v>79</v>
      </c>
      <c r="F6" s="67" t="s">
        <v>80</v>
      </c>
      <c r="G6" s="67" t="s">
        <v>81</v>
      </c>
      <c r="H6" s="68" t="s">
        <v>82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21" s="5" customFormat="1" ht="24" customHeight="1">
      <c r="A7" s="69" t="str">
        <f>'Forudsætninger og beregninger'!A16</f>
        <v>Nuværende</v>
      </c>
      <c r="B7" s="70">
        <f>IF(ISNUMBER('Forudsætninger og beregninger'!B16),'Forudsætninger og beregninger'!B16,"")</f>
        <v>80</v>
      </c>
      <c r="C7" s="70">
        <f>IF(ISNUMBER('Forudsætninger og beregninger'!C16),'Forudsætninger og beregninger'!C16,"")</f>
        <v>200</v>
      </c>
      <c r="D7" s="70">
        <f>'Ekstra - Udfyld din profil'!D17</f>
        <v>2.5</v>
      </c>
      <c r="E7" s="70">
        <f>IF(ISNUMBER('Forudsætninger og beregninger'!E16),'Forudsætninger og beregninger'!E16,"")</f>
        <v>200</v>
      </c>
      <c r="F7" s="70">
        <f>IF(ISNUMBER('Forudsætninger og beregninger'!F16),'Forudsætninger og beregninger'!F16,"")</f>
        <v>2.5</v>
      </c>
      <c r="G7" s="71">
        <f>IF(ISNUMBER('Forudsætninger og beregninger'!T16),ROUND('Forudsætninger og beregninger'!T16*1440,0)/1440,"")</f>
        <v>6.25E-2</v>
      </c>
      <c r="H7" s="72">
        <f>IF(AND(ISNUMBER('Forudsætninger og beregninger'!T$16),ISNUMBER('Forudsætninger og beregninger'!T16)),('Forudsætninger og beregninger'!T$16-'Forudsætninger og beregninger'!T16)*1440,"")</f>
        <v>0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</row>
    <row r="8" spans="1:21" s="5" customFormat="1" ht="24" customHeight="1">
      <c r="A8" s="73" t="str">
        <f>'Forudsætninger og beregninger'!A17</f>
        <v>Mål via watt</v>
      </c>
      <c r="B8" s="210">
        <f>IF(ISNUMBER('Forudsætninger og beregninger'!B17),'Forudsætninger og beregninger'!B17,"")</f>
        <v>80</v>
      </c>
      <c r="C8" s="210">
        <f>IF(ISNUMBER('Forudsætninger og beregninger'!C17),'Forudsætninger og beregninger'!C17,"")</f>
        <v>220</v>
      </c>
      <c r="D8" s="210">
        <f>'Ekstra - Udfyld din profil'!D18</f>
        <v>2.75</v>
      </c>
      <c r="E8" s="210">
        <f>IF(ISNUMBER('Forudsætninger og beregninger'!E17),'Forudsætninger og beregninger'!E17,"")</f>
        <v>220</v>
      </c>
      <c r="F8" s="210">
        <f>IF(ISNUMBER('Forudsætninger og beregninger'!F17),'Forudsætninger og beregninger'!F17,"")</f>
        <v>2.75</v>
      </c>
      <c r="G8" s="211">
        <f>IF(ISNUMBER('Forudsætninger og beregninger'!T17),ROUND('Forudsætninger og beregninger'!T17*1440,0)/1440,"")</f>
        <v>5.6944444444444443E-2</v>
      </c>
      <c r="H8" s="74">
        <f>IF(AND(ISNUMBER('Forudsætninger og beregninger'!T$16),ISNUMBER('Forudsætninger og beregninger'!T17)),('Forudsætninger og beregninger'!T$16-'Forudsætninger og beregninger'!T17)*1440,"")</f>
        <v>7.9356873565604644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</row>
    <row r="9" spans="1:21" s="5" customFormat="1" ht="24" customHeight="1">
      <c r="A9" s="73" t="str">
        <f>'Forudsætninger og beregninger'!A18</f>
        <v>Mål via vægt</v>
      </c>
      <c r="B9" s="210">
        <f>IF(ISNUMBER('Forudsætninger og beregninger'!B18),'Forudsætninger og beregninger'!B18,"")</f>
        <v>72.727272727272734</v>
      </c>
      <c r="C9" s="210">
        <f>IF(ISNUMBER('Forudsætninger og beregninger'!C18),'Forudsætninger og beregninger'!C18,"")</f>
        <v>200</v>
      </c>
      <c r="D9" s="210">
        <f>'Ekstra - Udfyld din profil'!D19</f>
        <v>2.7499999999999996</v>
      </c>
      <c r="E9" s="210">
        <f>IF(ISNUMBER('Forudsætninger og beregninger'!E18),'Forudsætninger og beregninger'!E18,"")</f>
        <v>200</v>
      </c>
      <c r="F9" s="210">
        <f>IF(ISNUMBER('Forudsætninger og beregninger'!F18),'Forudsætninger og beregninger'!F18,"")</f>
        <v>2.7499999999999996</v>
      </c>
      <c r="G9" s="211">
        <f>IF(ISNUMBER('Forudsætninger og beregninger'!T18),ROUND('Forudsætninger og beregninger'!T18*1440,0)/1440,"")</f>
        <v>5.7638888888888892E-2</v>
      </c>
      <c r="H9" s="74">
        <f>IF(AND(ISNUMBER('Forudsætninger og beregninger'!T$16),ISNUMBER('Forudsætninger og beregninger'!T18)),('Forudsætninger og beregninger'!T$16-'Forudsætninger og beregninger'!T18)*1440,"")</f>
        <v>6.9350198570717154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1:21" s="5" customFormat="1" ht="24" customHeight="1">
      <c r="A10" s="75" t="str">
        <f>'Forudsætninger og beregninger'!A19</f>
        <v>Din kombination</v>
      </c>
      <c r="B10" s="76">
        <f>IF(ISNUMBER('Forudsætninger og beregninger'!B19),'Forudsætninger og beregninger'!B19,"")</f>
        <v>76</v>
      </c>
      <c r="C10" s="76">
        <f>IF(ISNUMBER('Forudsætninger og beregninger'!C19),'Forudsætninger og beregninger'!C19,"")</f>
        <v>215</v>
      </c>
      <c r="D10" s="76">
        <f>'Ekstra - Udfyld din profil'!D20</f>
        <v>2.8289473684210527</v>
      </c>
      <c r="E10" s="76">
        <f>IF(ISNUMBER('Forudsætninger og beregninger'!E19),'Forudsætninger og beregninger'!E19,"")</f>
        <v>215</v>
      </c>
      <c r="F10" s="76">
        <f>IF(ISNUMBER('Forudsætninger og beregninger'!F19),'Forudsætninger og beregninger'!F19,"")</f>
        <v>2.8289473684210527</v>
      </c>
      <c r="G10" s="77">
        <f>IF(ISNUMBER('Forudsætninger og beregninger'!T19),ROUND('Forudsætninger og beregninger'!T19*1440,0)/1440,"")</f>
        <v>5.5555555555555552E-2</v>
      </c>
      <c r="H10" s="78">
        <f>IF(AND(ISNUMBER('Forudsætninger og beregninger'!T$16),ISNUMBER('Forudsætninger og beregninger'!T19)),('Forudsætninger og beregninger'!T$16-'Forudsætninger og beregninger'!T19)*1440,"")</f>
        <v>9.6306699228879431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5" customFormat="1" ht="13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5" customFormat="1" ht="24" customHeight="1">
      <c r="A12" s="65" t="s">
        <v>83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5" customFormat="1" ht="24" customHeight="1">
      <c r="A13" s="65" t="s">
        <v>84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 s="5" customFormat="1" ht="24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</row>
    <row r="15" spans="1:21" s="5" customFormat="1" ht="36" customHeight="1">
      <c r="A15" s="79" t="s">
        <v>85</v>
      </c>
      <c r="B15" s="80" t="s">
        <v>86</v>
      </c>
      <c r="C15" s="80" t="s">
        <v>87</v>
      </c>
      <c r="D15" s="81" t="s">
        <v>88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</row>
    <row r="16" spans="1:21" s="5" customFormat="1" ht="24" customHeight="1">
      <c r="A16" s="82">
        <v>0</v>
      </c>
      <c r="B16" s="83">
        <f>IF(ISNUMBER('Forudsætninger og beregninger'!T20),ROUND('Forudsætninger og beregninger'!T20*1440,0)/1440,NA())</f>
        <v>6.25E-2</v>
      </c>
      <c r="C16" s="83">
        <f>IF(ISNUMBER('Forudsætninger og beregninger'!T21),ROUND('Forudsætninger og beregninger'!T21*1440,0)/1440,NA())</f>
        <v>5.9722222222222225E-2</v>
      </c>
      <c r="D16" s="84">
        <f t="shared" ref="D16:D24" si="0">IF(ISNUMBER($G$7),$G$7,NA())</f>
        <v>6.25E-2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</row>
    <row r="17" spans="1:21" s="5" customFormat="1" ht="24" customHeight="1">
      <c r="A17" s="85">
        <v>2.5000000000000001E-2</v>
      </c>
      <c r="B17" s="86">
        <f>IF(ISNUMBER('Forudsætninger og beregninger'!T22),ROUND('Forudsætninger og beregninger'!T22*1440,0)/1440,NA())</f>
        <v>6.1111111111111109E-2</v>
      </c>
      <c r="C17" s="86">
        <f>IF(ISNUMBER('Forudsætninger og beregninger'!T23),ROUND('Forudsætninger og beregninger'!T23*1440,0)/1440,NA())</f>
        <v>5.8333333333333334E-2</v>
      </c>
      <c r="D17" s="87">
        <f t="shared" si="0"/>
        <v>6.25E-2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</row>
    <row r="18" spans="1:21" s="5" customFormat="1" ht="24" customHeight="1">
      <c r="A18" s="85">
        <v>0.05</v>
      </c>
      <c r="B18" s="86">
        <f>IF(ISNUMBER('Forudsætninger og beregninger'!T24),ROUND('Forudsætninger og beregninger'!T24*1440,0)/1440,NA())</f>
        <v>5.9722222222222225E-2</v>
      </c>
      <c r="C18" s="86">
        <f>IF(ISNUMBER('Forudsætninger og beregninger'!T25),ROUND('Forudsætninger og beregninger'!T25*1440,0)/1440,NA())</f>
        <v>5.6944444444444443E-2</v>
      </c>
      <c r="D18" s="87">
        <f t="shared" si="0"/>
        <v>6.25E-2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</row>
    <row r="19" spans="1:21" s="5" customFormat="1" ht="24" customHeight="1">
      <c r="A19" s="85">
        <v>7.5000000000000011E-2</v>
      </c>
      <c r="B19" s="86">
        <f>IF(ISNUMBER('Forudsætninger og beregninger'!T26),ROUND('Forudsætninger og beregninger'!T26*1440,0)/1440,NA())</f>
        <v>5.8333333333333334E-2</v>
      </c>
      <c r="C19" s="86">
        <f>IF(ISNUMBER('Forudsætninger og beregninger'!T27),ROUND('Forudsætninger og beregninger'!T27*1440,0)/1440,NA())</f>
        <v>5.5555555555555552E-2</v>
      </c>
      <c r="D19" s="87">
        <f t="shared" si="0"/>
        <v>6.25E-2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5" customFormat="1" ht="24" customHeight="1">
      <c r="A20" s="85">
        <v>0.1</v>
      </c>
      <c r="B20" s="86">
        <f>IF(ISNUMBER('Forudsætninger og beregninger'!T28),ROUND('Forudsætninger og beregninger'!T28*1440,0)/1440,NA())</f>
        <v>5.6944444444444443E-2</v>
      </c>
      <c r="C20" s="86">
        <f>IF(ISNUMBER('Forudsætninger og beregninger'!T29),ROUND('Forudsætninger og beregninger'!T29*1440,0)/1440,NA())</f>
        <v>5.486111111111111E-2</v>
      </c>
      <c r="D20" s="87">
        <f t="shared" si="0"/>
        <v>6.25E-2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5" customFormat="1" ht="24" customHeight="1">
      <c r="A21" s="85">
        <v>0.125</v>
      </c>
      <c r="B21" s="86">
        <f>IF(ISNUMBER('Forudsætninger og beregninger'!T30),ROUND('Forudsætninger og beregninger'!T30*1440,0)/1440,NA())</f>
        <v>5.5555555555555552E-2</v>
      </c>
      <c r="C21" s="86">
        <f>IF(ISNUMBER('Forudsætninger og beregninger'!T31),ROUND('Forudsætninger og beregninger'!T31*1440,0)/1440,NA())</f>
        <v>5.347222222222222E-2</v>
      </c>
      <c r="D21" s="87">
        <f t="shared" si="0"/>
        <v>6.25E-2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5" customFormat="1" ht="24" customHeight="1">
      <c r="A22" s="85">
        <v>0.15000000000000002</v>
      </c>
      <c r="B22" s="86">
        <f>IF(ISNUMBER('Forudsætninger og beregninger'!T32),ROUND('Forudsætninger og beregninger'!T32*1440,0)/1440,NA())</f>
        <v>5.486111111111111E-2</v>
      </c>
      <c r="C22" s="86">
        <f>IF(ISNUMBER('Forudsætninger og beregninger'!T33),ROUND('Forudsætninger og beregninger'!T33*1440,0)/1440,NA())</f>
        <v>5.2083333333333336E-2</v>
      </c>
      <c r="D22" s="87">
        <f t="shared" si="0"/>
        <v>6.25E-2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5" customFormat="1" ht="24" customHeight="1">
      <c r="A23" s="85">
        <v>0.17500000000000002</v>
      </c>
      <c r="B23" s="86">
        <f>IF(ISNUMBER('Forudsætninger og beregninger'!T34),ROUND('Forudsætninger og beregninger'!T34*1440,0)/1440,NA())</f>
        <v>5.347222222222222E-2</v>
      </c>
      <c r="C23" s="86">
        <f>IF(ISNUMBER('Forudsætninger og beregninger'!T35),ROUND('Forudsætninger og beregninger'!T35*1440,0)/1440,NA())</f>
        <v>5.1388888888888887E-2</v>
      </c>
      <c r="D23" s="87">
        <f t="shared" si="0"/>
        <v>6.25E-2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5" customFormat="1" ht="24" customHeight="1">
      <c r="A24" s="88">
        <v>0.2</v>
      </c>
      <c r="B24" s="89">
        <f>IF(ISNUMBER('Forudsætninger og beregninger'!T36),ROUND('Forudsætninger og beregninger'!T36*1440,0)/1440,NA())</f>
        <v>5.2083333333333336E-2</v>
      </c>
      <c r="C24" s="89">
        <f>IF(ISNUMBER('Forudsætninger og beregninger'!T37),ROUND('Forudsætninger og beregninger'!T37*1440,0)/1440,NA())</f>
        <v>0.05</v>
      </c>
      <c r="D24" s="90">
        <f t="shared" si="0"/>
        <v>6.25E-2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5" spans="1:21" s="5" customFormat="1" ht="24" customHeight="1">
      <c r="A25" s="65" t="s">
        <v>89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</row>
    <row r="26" spans="1:21" s="5" customFormat="1" ht="24" customHeight="1">
      <c r="A26" s="65" t="s">
        <v>90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</row>
    <row r="27" spans="1:21" s="5" customFormat="1" ht="24" customHeight="1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</row>
    <row r="28" spans="1:21" s="5" customFormat="1" ht="24" customHeight="1">
      <c r="A28" s="91" t="s">
        <v>91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21" s="5" customFormat="1" ht="24" customHeight="1">
      <c r="A29" s="65" t="s">
        <v>92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</row>
    <row r="30" spans="1:21" s="5" customFormat="1" ht="36" customHeight="1">
      <c r="A30" s="79" t="s">
        <v>93</v>
      </c>
      <c r="B30" s="92" t="s">
        <v>94</v>
      </c>
      <c r="C30" s="92" t="s">
        <v>95</v>
      </c>
      <c r="D30" s="92" t="s">
        <v>81</v>
      </c>
      <c r="E30" s="93" t="s">
        <v>96</v>
      </c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5" customFormat="1" ht="24" customHeight="1">
      <c r="A31" s="94">
        <v>1.5</v>
      </c>
      <c r="B31" s="95">
        <f>IF(AND(ISNUMBER('Ekstra - Udfyld din profil'!$C$6),'Ekstra - Udfyld din profil'!$C$6&gt;0),A31*'Ekstra - Udfyld din profil'!$C$6,"")</f>
        <v>120</v>
      </c>
      <c r="C31" s="95">
        <f>IF(AND(ISNUMBER(B31),ISNUMBER('Ekstra - Udfyld din profil'!$C$11),'Ekstra - Udfyld din profil'!$C$11&gt;0,'Ekstra - Udfyld din profil'!$C$11&lt;=1),B31/'Ekstra - Udfyld din profil'!$C$11,"")</f>
        <v>120</v>
      </c>
      <c r="D31" s="83">
        <f t="shared" ref="D31:D47" si="1">IF(ISNUMBER(E31),ROUND(E31,0)/1440,"")</f>
        <v>0.10347222222222222</v>
      </c>
      <c r="E31" s="96">
        <f>IF(ISNUMBER('Forudsætninger og beregninger'!U38),'Forudsætninger og beregninger'!U38,"")</f>
        <v>148.53008832099403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</row>
    <row r="32" spans="1:21" s="5" customFormat="1" ht="24" customHeight="1">
      <c r="A32" s="97">
        <v>1.75</v>
      </c>
      <c r="B32" s="98">
        <f>IF(AND(ISNUMBER('Ekstra - Udfyld din profil'!$C$6),'Ekstra - Udfyld din profil'!$C$6&gt;0),A32*'Ekstra - Udfyld din profil'!$C$6,"")</f>
        <v>140</v>
      </c>
      <c r="C32" s="98">
        <f>IF(AND(ISNUMBER(B32),ISNUMBER('Ekstra - Udfyld din profil'!$C$11),'Ekstra - Udfyld din profil'!$C$11&gt;0,'Ekstra - Udfyld din profil'!$C$11&lt;=1),B32/'Ekstra - Udfyld din profil'!$C$11,"")</f>
        <v>140</v>
      </c>
      <c r="D32" s="86">
        <f t="shared" si="1"/>
        <v>8.8888888888888892E-2</v>
      </c>
      <c r="E32" s="99">
        <f>IF(ISNUMBER('Forudsætninger og beregninger'!U39),'Forudsætninger og beregninger'!U39,"")</f>
        <v>127.55539171714345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</row>
    <row r="33" spans="1:21" s="5" customFormat="1" ht="24" customHeight="1">
      <c r="A33" s="97">
        <v>2</v>
      </c>
      <c r="B33" s="98">
        <f>IF(AND(ISNUMBER('Ekstra - Udfyld din profil'!$C$6),'Ekstra - Udfyld din profil'!$C$6&gt;0),A33*'Ekstra - Udfyld din profil'!$C$6,"")</f>
        <v>160</v>
      </c>
      <c r="C33" s="98">
        <f>IF(AND(ISNUMBER(B33),ISNUMBER('Ekstra - Udfyld din profil'!$C$11),'Ekstra - Udfyld din profil'!$C$11&gt;0,'Ekstra - Udfyld din profil'!$C$11&lt;=1),B33/'Ekstra - Udfyld din profil'!$C$11,"")</f>
        <v>160</v>
      </c>
      <c r="D33" s="86">
        <f t="shared" si="1"/>
        <v>7.7777777777777779E-2</v>
      </c>
      <c r="E33" s="99">
        <f>IF(ISNUMBER('Forudsætninger og beregninger'!U40),'Forudsætninger og beregninger'!U40,"")</f>
        <v>111.85521107664199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</row>
    <row r="34" spans="1:21" s="5" customFormat="1" ht="24" customHeight="1">
      <c r="A34" s="97">
        <v>2.25</v>
      </c>
      <c r="B34" s="98">
        <f>IF(AND(ISNUMBER('Ekstra - Udfyld din profil'!$C$6),'Ekstra - Udfyld din profil'!$C$6&gt;0),A34*'Ekstra - Udfyld din profil'!$C$6,"")</f>
        <v>180</v>
      </c>
      <c r="C34" s="98">
        <f>IF(AND(ISNUMBER(B34),ISNUMBER('Ekstra - Udfyld din profil'!$C$11),'Ekstra - Udfyld din profil'!$C$11&gt;0,'Ekstra - Udfyld din profil'!$C$11&lt;=1),B34/'Ekstra - Udfyld din profil'!$C$11,"")</f>
        <v>180</v>
      </c>
      <c r="D34" s="86">
        <f t="shared" si="1"/>
        <v>6.9444444444444448E-2</v>
      </c>
      <c r="E34" s="99">
        <f>IF(ISNUMBER('Forudsætninger og beregninger'!U41),'Forudsætninger og beregninger'!U41,"")</f>
        <v>99.670667828816747</v>
      </c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</row>
    <row r="35" spans="1:21" s="5" customFormat="1" ht="24" customHeight="1">
      <c r="A35" s="97">
        <v>2.5</v>
      </c>
      <c r="B35" s="98">
        <f>IF(AND(ISNUMBER('Ekstra - Udfyld din profil'!$C$6),'Ekstra - Udfyld din profil'!$C$6&gt;0),A35*'Ekstra - Udfyld din profil'!$C$6,"")</f>
        <v>200</v>
      </c>
      <c r="C35" s="98">
        <f>IF(AND(ISNUMBER(B35),ISNUMBER('Ekstra - Udfyld din profil'!$C$11),'Ekstra - Udfyld din profil'!$C$11&gt;0,'Ekstra - Udfyld din profil'!$C$11&lt;=1),B35/'Ekstra - Udfyld din profil'!$C$11,"")</f>
        <v>200</v>
      </c>
      <c r="D35" s="86">
        <f t="shared" si="1"/>
        <v>6.25E-2</v>
      </c>
      <c r="E35" s="99">
        <f>IF(ISNUMBER('Forudsætninger og beregninger'!U42),'Forudsætninger og beregninger'!U42,"")</f>
        <v>89.94637825041336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</row>
    <row r="36" spans="1:21" s="5" customFormat="1" ht="24" customHeight="1">
      <c r="A36" s="97">
        <v>2.75</v>
      </c>
      <c r="B36" s="98">
        <f>IF(AND(ISNUMBER('Ekstra - Udfyld din profil'!$C$6),'Ekstra - Udfyld din profil'!$C$6&gt;0),A36*'Ekstra - Udfyld din profil'!$C$6,"")</f>
        <v>220</v>
      </c>
      <c r="C36" s="98">
        <f>IF(AND(ISNUMBER(B36),ISNUMBER('Ekstra - Udfyld din profil'!$C$11),'Ekstra - Udfyld din profil'!$C$11&gt;0,'Ekstra - Udfyld din profil'!$C$11&lt;=1),B36/'Ekstra - Udfyld din profil'!$C$11,"")</f>
        <v>220</v>
      </c>
      <c r="D36" s="86">
        <f t="shared" si="1"/>
        <v>5.6944444444444443E-2</v>
      </c>
      <c r="E36" s="99">
        <f>IF(ISNUMBER('Forudsætninger og beregninger'!U43),'Forudsætninger og beregninger'!U43,"")</f>
        <v>82.010690893852896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</row>
    <row r="37" spans="1:21" s="5" customFormat="1" ht="24" customHeight="1">
      <c r="A37" s="97">
        <v>3</v>
      </c>
      <c r="B37" s="98">
        <f>IF(AND(ISNUMBER('Ekstra - Udfyld din profil'!$C$6),'Ekstra - Udfyld din profil'!$C$6&gt;0),A37*'Ekstra - Udfyld din profil'!$C$6,"")</f>
        <v>240</v>
      </c>
      <c r="C37" s="98">
        <f>IF(AND(ISNUMBER(B37),ISNUMBER('Ekstra - Udfyld din profil'!$C$11),'Ekstra - Udfyld din profil'!$C$11&gt;0,'Ekstra - Udfyld din profil'!$C$11&lt;=1),B37/'Ekstra - Udfyld din profil'!$C$11,"")</f>
        <v>240</v>
      </c>
      <c r="D37" s="86">
        <f t="shared" si="1"/>
        <v>5.2083333333333336E-2</v>
      </c>
      <c r="E37" s="99">
        <f>IF(ISNUMBER('Forudsætninger og beregninger'!U44),'Forudsætninger og beregninger'!U44,"")</f>
        <v>75.415805339695936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</row>
    <row r="38" spans="1:21" s="5" customFormat="1" ht="24" customHeight="1">
      <c r="A38" s="97">
        <v>3.25</v>
      </c>
      <c r="B38" s="98">
        <f>IF(AND(ISNUMBER('Ekstra - Udfyld din profil'!$C$6),'Ekstra - Udfyld din profil'!$C$6&gt;0),A38*'Ekstra - Udfyld din profil'!$C$6,"")</f>
        <v>260</v>
      </c>
      <c r="C38" s="98">
        <f>IF(AND(ISNUMBER(B38),ISNUMBER('Ekstra - Udfyld din profil'!$C$11),'Ekstra - Udfyld din profil'!$C$11&gt;0,'Ekstra - Udfyld din profil'!$C$11&lt;=1),B38/'Ekstra - Udfyld din profil'!$C$11,"")</f>
        <v>260</v>
      </c>
      <c r="D38" s="86">
        <f t="shared" si="1"/>
        <v>4.8611111111111112E-2</v>
      </c>
      <c r="E38" s="99">
        <f>IF(ISNUMBER('Forudsætninger og beregninger'!U45),'Forudsætninger og beregninger'!U45,"")</f>
        <v>69.85168218130184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</row>
    <row r="39" spans="1:21" s="5" customFormat="1" ht="24" customHeight="1">
      <c r="A39" s="97">
        <v>3.5</v>
      </c>
      <c r="B39" s="98">
        <f>IF(AND(ISNUMBER('Ekstra - Udfyld din profil'!$C$6),'Ekstra - Udfyld din profil'!$C$6&gt;0),A39*'Ekstra - Udfyld din profil'!$C$6,"")</f>
        <v>280</v>
      </c>
      <c r="C39" s="98">
        <f>IF(AND(ISNUMBER(B39),ISNUMBER('Ekstra - Udfyld din profil'!$C$11),'Ekstra - Udfyld din profil'!$C$11&gt;0,'Ekstra - Udfyld din profil'!$C$11&lt;=1),B39/'Ekstra - Udfyld din profil'!$C$11,"")</f>
        <v>280</v>
      </c>
      <c r="D39" s="86">
        <f t="shared" si="1"/>
        <v>4.5138888888888888E-2</v>
      </c>
      <c r="E39" s="99">
        <f>IF(ISNUMBER('Forudsætninger og beregninger'!U46),'Forudsætninger og beregninger'!U46,"")</f>
        <v>65.096848506716995</v>
      </c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</row>
    <row r="40" spans="1:21" s="5" customFormat="1" ht="24" customHeight="1">
      <c r="A40" s="97">
        <v>3.75</v>
      </c>
      <c r="B40" s="98">
        <f>IF(AND(ISNUMBER('Ekstra - Udfyld din profil'!$C$6),'Ekstra - Udfyld din profil'!$C$6&gt;0),A40*'Ekstra - Udfyld din profil'!$C$6,"")</f>
        <v>300</v>
      </c>
      <c r="C40" s="98">
        <f>IF(AND(ISNUMBER(B40),ISNUMBER('Ekstra - Udfyld din profil'!$C$11),'Ekstra - Udfyld din profil'!$C$11&gt;0,'Ekstra - Udfyld din profil'!$C$11&lt;=1),B40/'Ekstra - Udfyld din profil'!$C$11,"")</f>
        <v>300</v>
      </c>
      <c r="D40" s="86">
        <f t="shared" si="1"/>
        <v>4.2361111111111113E-2</v>
      </c>
      <c r="E40" s="99">
        <f>IF(ISNUMBER('Forudsætninger og beregninger'!U47),'Forudsætninger og beregninger'!U47,"")</f>
        <v>60.988880887875787</v>
      </c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</row>
    <row r="41" spans="1:21" s="5" customFormat="1" ht="24" customHeight="1">
      <c r="A41" s="97">
        <v>4</v>
      </c>
      <c r="B41" s="98">
        <f>IF(AND(ISNUMBER('Ekstra - Udfyld din profil'!$C$6),'Ekstra - Udfyld din profil'!$C$6&gt;0),A41*'Ekstra - Udfyld din profil'!$C$6,"")</f>
        <v>320</v>
      </c>
      <c r="C41" s="98">
        <f>IF(AND(ISNUMBER(B41),ISNUMBER('Ekstra - Udfyld din profil'!$C$11),'Ekstra - Udfyld din profil'!$C$11&gt;0,'Ekstra - Udfyld din profil'!$C$11&lt;=1),B41/'Ekstra - Udfyld din profil'!$C$11,"")</f>
        <v>320</v>
      </c>
      <c r="D41" s="86">
        <f t="shared" si="1"/>
        <v>3.9583333333333331E-2</v>
      </c>
      <c r="E41" s="99">
        <f>IF(ISNUMBER('Forudsætninger og beregninger'!U48),'Forudsætninger og beregninger'!U48,"")</f>
        <v>57.405956901454516</v>
      </c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</row>
    <row r="42" spans="1:21" s="5" customFormat="1" ht="24" customHeight="1">
      <c r="A42" s="97">
        <v>4.25</v>
      </c>
      <c r="B42" s="98">
        <f>IF(AND(ISNUMBER('Ekstra - Udfyld din profil'!$C$6),'Ekstra - Udfyld din profil'!$C$6&gt;0),A42*'Ekstra - Udfyld din profil'!$C$6,"")</f>
        <v>340</v>
      </c>
      <c r="C42" s="98">
        <f>IF(AND(ISNUMBER(B42),ISNUMBER('Ekstra - Udfyld din profil'!$C$11),'Ekstra - Udfyld din profil'!$C$11&gt;0,'Ekstra - Udfyld din profil'!$C$11&lt;=1),B42/'Ekstra - Udfyld din profil'!$C$11,"")</f>
        <v>340</v>
      </c>
      <c r="D42" s="86">
        <f t="shared" si="1"/>
        <v>3.7499999999999999E-2</v>
      </c>
      <c r="E42" s="99">
        <f>IF(ISNUMBER('Forudsætninger og beregninger'!U49),'Forudsætninger og beregninger'!U49,"")</f>
        <v>54.254917506241569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</row>
    <row r="43" spans="1:21" s="5" customFormat="1" ht="24" customHeight="1">
      <c r="A43" s="97">
        <v>4.5</v>
      </c>
      <c r="B43" s="98">
        <f>IF(AND(ISNUMBER('Ekstra - Udfyld din profil'!$C$6),'Ekstra - Udfyld din profil'!$C$6&gt;0),A43*'Ekstra - Udfyld din profil'!$C$6,"")</f>
        <v>360</v>
      </c>
      <c r="C43" s="98">
        <f>IF(AND(ISNUMBER(B43),ISNUMBER('Ekstra - Udfyld din profil'!$C$11),'Ekstra - Udfyld din profil'!$C$11&gt;0,'Ekstra - Udfyld din profil'!$C$11&lt;=1),B43/'Ekstra - Udfyld din profil'!$C$11,"")</f>
        <v>360</v>
      </c>
      <c r="D43" s="86">
        <f t="shared" si="1"/>
        <v>3.5416666666666666E-2</v>
      </c>
      <c r="E43" s="99">
        <f>IF(ISNUMBER('Forudsætninger og beregninger'!U50),'Forudsætninger og beregninger'!U50,"")</f>
        <v>51.46330825106952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</row>
    <row r="44" spans="1:21" s="5" customFormat="1" ht="24" customHeight="1">
      <c r="A44" s="97">
        <v>4.75</v>
      </c>
      <c r="B44" s="98">
        <f>IF(AND(ISNUMBER('Ekstra - Udfyld din profil'!$C$6),'Ekstra - Udfyld din profil'!$C$6&gt;0),A44*'Ekstra - Udfyld din profil'!$C$6,"")</f>
        <v>380</v>
      </c>
      <c r="C44" s="98">
        <f>IF(AND(ISNUMBER(B44),ISNUMBER('Ekstra - Udfyld din profil'!$C$11),'Ekstra - Udfyld din profil'!$C$11&gt;0,'Ekstra - Udfyld din profil'!$C$11&lt;=1),B44/'Ekstra - Udfyld din profil'!$C$11,"")</f>
        <v>380</v>
      </c>
      <c r="D44" s="86">
        <f t="shared" si="1"/>
        <v>3.4027777777777775E-2</v>
      </c>
      <c r="E44" s="99">
        <f>IF(ISNUMBER('Forudsætninger og beregninger'!U51),'Forudsætninger og beregninger'!U51,"")</f>
        <v>48.97393341694189</v>
      </c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</row>
    <row r="45" spans="1:21" s="5" customFormat="1" ht="24" customHeight="1">
      <c r="A45" s="97">
        <v>5</v>
      </c>
      <c r="B45" s="98">
        <f>IF(AND(ISNUMBER('Ekstra - Udfyld din profil'!$C$6),'Ekstra - Udfyld din profil'!$C$6&gt;0),A45*'Ekstra - Udfyld din profil'!$C$6,"")</f>
        <v>400</v>
      </c>
      <c r="C45" s="98">
        <f>IF(AND(ISNUMBER(B45),ISNUMBER('Ekstra - Udfyld din profil'!$C$11),'Ekstra - Udfyld din profil'!$C$11&gt;0,'Ekstra - Udfyld din profil'!$C$11&lt;=1),B45/'Ekstra - Udfyld din profil'!$C$11,"")</f>
        <v>400</v>
      </c>
      <c r="D45" s="86">
        <f t="shared" si="1"/>
        <v>3.2638888888888891E-2</v>
      </c>
      <c r="E45" s="99">
        <f>IF(ISNUMBER('Forudsætninger og beregninger'!U52),'Forudsætninger og beregninger'!U52,"")</f>
        <v>46.74104356645546</v>
      </c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</row>
    <row r="46" spans="1:21" s="5" customFormat="1" ht="24" customHeight="1">
      <c r="A46" s="97">
        <v>5.25</v>
      </c>
      <c r="B46" s="98">
        <f>IF(AND(ISNUMBER('Ekstra - Udfyld din profil'!$C$6),'Ekstra - Udfyld din profil'!$C$6&gt;0),A46*'Ekstra - Udfyld din profil'!$C$6,"")</f>
        <v>420</v>
      </c>
      <c r="C46" s="98">
        <f>IF(AND(ISNUMBER(B46),ISNUMBER('Ekstra - Udfyld din profil'!$C$11),'Ekstra - Udfyld din profil'!$C$11&gt;0,'Ekstra - Udfyld din profil'!$C$11&lt;=1),B46/'Ekstra - Udfyld din profil'!$C$11,"")</f>
        <v>420</v>
      </c>
      <c r="D46" s="86">
        <f t="shared" si="1"/>
        <v>3.125E-2</v>
      </c>
      <c r="E46" s="99">
        <f>IF(ISNUMBER('Forudsætninger og beregninger'!U53),'Forudsætninger og beregninger'!U53,"")</f>
        <v>44.727612040029115</v>
      </c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</row>
    <row r="47" spans="1:21" s="5" customFormat="1" ht="24" customHeight="1">
      <c r="A47" s="100">
        <v>5.5</v>
      </c>
      <c r="B47" s="101">
        <f>IF(AND(ISNUMBER('Ekstra - Udfyld din profil'!$C$6),'Ekstra - Udfyld din profil'!$C$6&gt;0),A47*'Ekstra - Udfyld din profil'!$C$6,"")</f>
        <v>440</v>
      </c>
      <c r="C47" s="101">
        <f>IF(AND(ISNUMBER(B47),ISNUMBER('Ekstra - Udfyld din profil'!$C$11),'Ekstra - Udfyld din profil'!$C$11&gt;0,'Ekstra - Udfyld din profil'!$C$11&lt;=1),B47/'Ekstra - Udfyld din profil'!$C$11,"")</f>
        <v>440</v>
      </c>
      <c r="D47" s="89">
        <f t="shared" si="1"/>
        <v>2.9861111111111113E-2</v>
      </c>
      <c r="E47" s="102">
        <f>IF(ISNUMBER('Forudsætninger og beregninger'!U54),'Forudsætninger og beregninger'!U54,"")</f>
        <v>42.903353930459026</v>
      </c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</row>
    <row r="48" spans="1:21" s="5" customFormat="1" ht="4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</row>
    <row r="49" spans="1:21" s="5" customFormat="1" ht="4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</row>
    <row r="50" spans="1:21" s="5" customFormat="1" ht="24" customHeight="1">
      <c r="A50" s="65" t="s">
        <v>97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</row>
    <row r="51" spans="1:21" s="5" customFormat="1" ht="24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</row>
    <row r="52" spans="1:21" s="5" customFormat="1" ht="24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</row>
    <row r="53" spans="1:21" s="5" customFormat="1" ht="24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</row>
    <row r="54" spans="1:21" s="5" customFormat="1" ht="24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</row>
    <row r="55" spans="1:21" s="5" customFormat="1" ht="24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</row>
    <row r="56" spans="1:21" s="5" customFormat="1" ht="24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</row>
    <row r="57" spans="1:21" ht="24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</row>
    <row r="58" spans="1:21" ht="24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</row>
    <row r="59" spans="1:21" ht="24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</row>
    <row r="60" spans="1:21" ht="24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</row>
    <row r="61" spans="1:21" ht="24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</row>
    <row r="62" spans="1:21" ht="24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21" ht="24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</row>
    <row r="64" spans="1:21" ht="24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</row>
    <row r="65" spans="1:21" ht="24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</row>
    <row r="66" spans="1:21" ht="24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</row>
    <row r="67" spans="1:21" ht="24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</row>
    <row r="68" spans="1:21" ht="24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</row>
    <row r="69" spans="1:21" ht="24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</row>
    <row r="70" spans="1:21" ht="24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</row>
    <row r="71" spans="1:21" ht="24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</row>
    <row r="72" spans="1:21" ht="24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</row>
    <row r="73" spans="1:21" ht="24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</row>
    <row r="74" spans="1:21" ht="24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</row>
    <row r="75" spans="1:21" ht="24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21" ht="24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</row>
    <row r="77" spans="1:21" ht="24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</row>
    <row r="78" spans="1:21" ht="24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</row>
    <row r="79" spans="1:21" ht="24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</row>
    <row r="80" spans="1:21" ht="24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</row>
    <row r="81" spans="1:21" ht="24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</row>
    <row r="82" spans="1:21" ht="24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</row>
    <row r="83" spans="1:21" ht="24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21" ht="24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 ht="24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 ht="24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 ht="24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 ht="24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 ht="24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 ht="24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 ht="24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 ht="24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</sheetData>
  <pageMargins left="0.7" right="0.7" top="0.75" bottom="0.75" header="0.3" footer="0.3"/>
  <pageSetup paperSize="9" scale="42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A3EC-0CD0-D64F-9429-FBE71BC01556}">
  <dimension ref="A1:W99"/>
  <sheetViews>
    <sheetView showGridLines="0" showRowColHeaders="0" zoomScaleNormal="100" workbookViewId="0">
      <pane ySplit="15" topLeftCell="A16" activePane="bottomLeft" state="frozen"/>
      <selection pane="bottomLeft"/>
    </sheetView>
  </sheetViews>
  <sheetFormatPr defaultColWidth="8.83203125" defaultRowHeight="14"/>
  <cols>
    <col min="1" max="1" width="30" customWidth="1"/>
    <col min="2" max="21" width="13" customWidth="1"/>
  </cols>
  <sheetData>
    <row r="1" spans="1:23" ht="33" customHeight="1">
      <c r="A1" s="63" t="s">
        <v>240</v>
      </c>
      <c r="B1" s="126"/>
      <c r="C1" s="126"/>
      <c r="D1" s="126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3" ht="24" customHeight="1">
      <c r="A2" s="131" t="s">
        <v>152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3" ht="24" customHeight="1">
      <c r="A3" s="64" t="s">
        <v>135</v>
      </c>
      <c r="B3" s="127">
        <v>13.8</v>
      </c>
      <c r="C3" s="64"/>
      <c r="D3" s="64" t="s">
        <v>136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3" ht="24" customHeight="1">
      <c r="A4" s="64" t="s">
        <v>137</v>
      </c>
      <c r="B4" s="127">
        <v>1120</v>
      </c>
      <c r="C4" s="64"/>
      <c r="D4" s="64" t="s">
        <v>138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3" ht="24" customHeight="1">
      <c r="A5" s="64" t="s">
        <v>139</v>
      </c>
      <c r="B5" s="128">
        <f>'Ekstra - Udfyld din profil'!C12</f>
        <v>10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</row>
    <row r="6" spans="1:23" ht="24" customHeight="1">
      <c r="A6" s="64" t="s">
        <v>140</v>
      </c>
      <c r="B6" s="127">
        <v>4.0000000000000001E-3</v>
      </c>
      <c r="C6" s="64"/>
      <c r="D6" s="64" t="s">
        <v>141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1:23" ht="24" customHeight="1">
      <c r="A7" s="64" t="s">
        <v>142</v>
      </c>
      <c r="B7" s="127">
        <v>0.32</v>
      </c>
      <c r="C7" s="64"/>
      <c r="D7" s="64" t="s">
        <v>143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</row>
    <row r="8" spans="1:23" ht="24" customHeight="1">
      <c r="A8" s="64" t="s">
        <v>144</v>
      </c>
      <c r="B8" s="127">
        <v>1.06</v>
      </c>
      <c r="C8" s="64"/>
      <c r="D8" s="64" t="s">
        <v>145</v>
      </c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</row>
    <row r="9" spans="1:23" ht="24" customHeight="1">
      <c r="A9" s="64" t="s">
        <v>146</v>
      </c>
      <c r="B9" s="129">
        <v>0.97499999999999998</v>
      </c>
      <c r="C9" s="64"/>
      <c r="D9" s="64" t="s">
        <v>147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3" ht="24" customHeight="1">
      <c r="A10" s="64" t="s">
        <v>148</v>
      </c>
      <c r="B10" s="128">
        <v>9.8066499999999994</v>
      </c>
      <c r="C10" s="64"/>
      <c r="D10" s="64" t="s">
        <v>149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</row>
    <row r="11" spans="1:23" ht="24" customHeight="1">
      <c r="A11" s="64" t="s">
        <v>150</v>
      </c>
      <c r="B11" s="130">
        <f>'Ekstra - Udfyld din profil'!C11</f>
        <v>1</v>
      </c>
      <c r="C11" s="64"/>
      <c r="D11" s="64" t="s">
        <v>151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</row>
    <row r="12" spans="1:23" ht="24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</row>
    <row r="13" spans="1:23" ht="24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</row>
    <row r="14" spans="1:23" ht="24" customHeight="1">
      <c r="A14" s="131" t="s">
        <v>152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</row>
    <row r="15" spans="1:23" ht="36" customHeight="1">
      <c r="A15" s="132" t="s">
        <v>77</v>
      </c>
      <c r="B15" s="133" t="s">
        <v>153</v>
      </c>
      <c r="C15" s="133" t="s">
        <v>78</v>
      </c>
      <c r="D15" s="133" t="s">
        <v>154</v>
      </c>
      <c r="E15" s="133" t="s">
        <v>79</v>
      </c>
      <c r="F15" s="133" t="s">
        <v>155</v>
      </c>
      <c r="G15" s="133" t="s">
        <v>156</v>
      </c>
      <c r="H15" s="133" t="s">
        <v>157</v>
      </c>
      <c r="I15" s="133" t="s">
        <v>158</v>
      </c>
      <c r="J15" s="133" t="s">
        <v>159</v>
      </c>
      <c r="K15" s="133" t="s">
        <v>160</v>
      </c>
      <c r="L15" s="133" t="s">
        <v>161</v>
      </c>
      <c r="M15" s="133" t="s">
        <v>162</v>
      </c>
      <c r="N15" s="133" t="s">
        <v>163</v>
      </c>
      <c r="O15" s="133" t="s">
        <v>164</v>
      </c>
      <c r="P15" s="133" t="s">
        <v>165</v>
      </c>
      <c r="Q15" s="133" t="s">
        <v>166</v>
      </c>
      <c r="R15" s="133" t="s">
        <v>167</v>
      </c>
      <c r="S15" s="133" t="s">
        <v>168</v>
      </c>
      <c r="T15" s="133" t="s">
        <v>169</v>
      </c>
      <c r="U15" s="133" t="s">
        <v>170</v>
      </c>
    </row>
    <row r="16" spans="1:23" ht="24" customHeight="1">
      <c r="A16" s="64" t="s">
        <v>171</v>
      </c>
      <c r="B16" s="128">
        <f>'Ekstra - Udfyld din profil'!B17</f>
        <v>80</v>
      </c>
      <c r="C16" s="128">
        <f>'Ekstra - Udfyld din profil'!C17</f>
        <v>200</v>
      </c>
      <c r="D16" s="128">
        <f t="shared" ref="D16:D37" si="0">$B$11</f>
        <v>1</v>
      </c>
      <c r="E16" s="128">
        <f t="shared" ref="E16:E54" si="1">IF(AND(ISNUMBER(B16),B16&gt;0,ISNUMBER(C16),C16&gt;0,ISNUMBER(D16),D16&gt;0,D16&lt;=1,ISNUMBER($B$5),$B$5&gt;=0),C16*D16,"")</f>
        <v>200</v>
      </c>
      <c r="F16" s="128">
        <f t="shared" ref="F16:F54" si="2">IF(ISNUMBER(E16),E16/B16,"")</f>
        <v>2.5</v>
      </c>
      <c r="G16" s="128">
        <f t="shared" ref="G16:G54" si="3">IF(ISNUMBER(E16),B16+$B$5,"")</f>
        <v>90</v>
      </c>
      <c r="H16" s="128">
        <f t="shared" ref="H16:H54" si="4">IF(ISNUMBER(E16),G16*$B$10*($B$4/($B$3*1000)+$B$6*SQRT(1-($B$4/($B$3*1000))^2)),"")</f>
        <v>75.149930308387297</v>
      </c>
      <c r="I16" s="128">
        <f t="shared" ref="I16:I54" si="5">0.5*$B$8*$B$7</f>
        <v>0.1696</v>
      </c>
      <c r="J16" s="128">
        <f t="shared" ref="J16:J54" si="6">IF(ISNUMBER(E16),E16*$B$9,"")</f>
        <v>195</v>
      </c>
      <c r="K16" s="128">
        <f t="shared" ref="K16:K54" si="7">IF(ISNUMBER(E16),MIN(J16/H16,(J16/I16)^(1/3)),"")</f>
        <v>2.5948127855846663</v>
      </c>
      <c r="L16" s="128">
        <f t="shared" ref="L16:L54" si="8">IF(ISNUMBER(E16),K16-(I16*K16^3+H16*K16-J16)/(3*I16*K16^2+H16),"")</f>
        <v>2.5571028636540949</v>
      </c>
      <c r="M16" s="128">
        <f t="shared" ref="M16:M54" si="9">IF(ISNUMBER(E16),L16-(I16*L16^3+H16*L16-J16)/(3*I16*L16^2+H16),"")</f>
        <v>2.5570790561518599</v>
      </c>
      <c r="N16" s="128">
        <f t="shared" ref="N16:N54" si="10">IF(ISNUMBER(E16),M16-(I16*M16^3+H16*M16-J16)/(3*I16*M16^2+H16),"")</f>
        <v>2.557079056142463</v>
      </c>
      <c r="O16" s="128">
        <f t="shared" ref="O16:O54" si="11">IF(ISNUMBER(E16),N16-(I16*N16^3+H16*N16-J16)/(3*I16*N16^2+H16),"")</f>
        <v>2.5570790561424634</v>
      </c>
      <c r="P16" s="128">
        <f t="shared" ref="P16:P54" si="12">IF(ISNUMBER(E16),O16-(I16*O16^3+H16*O16-J16)/(3*I16*O16^2+H16),"")</f>
        <v>2.557079056142463</v>
      </c>
      <c r="Q16" s="128">
        <f t="shared" ref="Q16:Q54" si="13">IF(ISNUMBER(E16),P16-(I16*P16^3+H16*P16-J16)/(3*I16*P16^2+H16),"")</f>
        <v>2.5570790561424634</v>
      </c>
      <c r="R16" s="128">
        <f t="shared" ref="R16:R54" si="14">IF(ISNUMBER(E16),Q16-(I16*Q16^3+H16*Q16-J16)/(3*I16*Q16^2+H16),"")</f>
        <v>2.557079056142463</v>
      </c>
      <c r="S16" s="128">
        <f t="shared" ref="S16:S54" si="15">IF(ISNUMBER(E16),R16-(I16*R16^3+H16*R16-J16)/(3*I16*R16^2+H16),"")</f>
        <v>2.5570790561424634</v>
      </c>
      <c r="T16" s="134">
        <f t="shared" ref="T16:T54" si="16">IF(ISNUMBER(E16),$B$3*1000/S16/86400,"")</f>
        <v>6.2462762673898171E-2</v>
      </c>
      <c r="U16" s="135">
        <f t="shared" ref="U16:U54" si="17">IF(ISNUMBER(T16),T16*1440,"")</f>
        <v>89.94637825041336</v>
      </c>
      <c r="W16" t="s">
        <v>85</v>
      </c>
    </row>
    <row r="17" spans="1:23" ht="24" customHeight="1">
      <c r="A17" s="64" t="s">
        <v>172</v>
      </c>
      <c r="B17" s="128">
        <f>'Ekstra - Udfyld din profil'!B18</f>
        <v>80</v>
      </c>
      <c r="C17" s="128">
        <f>'Ekstra - Udfyld din profil'!C18</f>
        <v>220</v>
      </c>
      <c r="D17" s="128">
        <f t="shared" si="0"/>
        <v>1</v>
      </c>
      <c r="E17" s="128">
        <f t="shared" si="1"/>
        <v>220</v>
      </c>
      <c r="F17" s="128">
        <f t="shared" si="2"/>
        <v>2.75</v>
      </c>
      <c r="G17" s="128">
        <f t="shared" si="3"/>
        <v>90</v>
      </c>
      <c r="H17" s="128">
        <f t="shared" si="4"/>
        <v>75.149930308387297</v>
      </c>
      <c r="I17" s="128">
        <f t="shared" si="5"/>
        <v>0.1696</v>
      </c>
      <c r="J17" s="128">
        <f t="shared" si="6"/>
        <v>214.5</v>
      </c>
      <c r="K17" s="128">
        <f t="shared" si="7"/>
        <v>2.8542940641431334</v>
      </c>
      <c r="L17" s="128">
        <f t="shared" si="8"/>
        <v>2.8045575293765697</v>
      </c>
      <c r="M17" s="128">
        <f t="shared" si="9"/>
        <v>2.8045124055923552</v>
      </c>
      <c r="N17" s="128">
        <f t="shared" si="10"/>
        <v>2.8045124055556467</v>
      </c>
      <c r="O17" s="128">
        <f t="shared" si="11"/>
        <v>2.8045124055556472</v>
      </c>
      <c r="P17" s="128">
        <f t="shared" si="12"/>
        <v>2.8045124055556472</v>
      </c>
      <c r="Q17" s="128">
        <f t="shared" si="13"/>
        <v>2.8045124055556472</v>
      </c>
      <c r="R17" s="128">
        <f t="shared" si="14"/>
        <v>2.8045124055556472</v>
      </c>
      <c r="S17" s="128">
        <f t="shared" si="15"/>
        <v>2.8045124055556472</v>
      </c>
      <c r="T17" s="134">
        <f t="shared" si="16"/>
        <v>5.6951868676286738E-2</v>
      </c>
      <c r="U17" s="135">
        <f t="shared" si="17"/>
        <v>82.010690893852896</v>
      </c>
      <c r="W17" t="str">
        <f>TEXT('Scenario med tid på Alpe d''Huez'!A16,"0.0%")</f>
        <v>00%</v>
      </c>
    </row>
    <row r="18" spans="1:23" ht="24" customHeight="1">
      <c r="A18" s="64" t="s">
        <v>173</v>
      </c>
      <c r="B18" s="128">
        <f>'Ekstra - Udfyld din profil'!B19</f>
        <v>72.727272727272734</v>
      </c>
      <c r="C18" s="128">
        <f>'Ekstra - Udfyld din profil'!C19</f>
        <v>200</v>
      </c>
      <c r="D18" s="128">
        <f t="shared" si="0"/>
        <v>1</v>
      </c>
      <c r="E18" s="128">
        <f t="shared" si="1"/>
        <v>200</v>
      </c>
      <c r="F18" s="128">
        <f t="shared" si="2"/>
        <v>2.7499999999999996</v>
      </c>
      <c r="G18" s="128">
        <f t="shared" si="3"/>
        <v>82.727272727272734</v>
      </c>
      <c r="H18" s="128">
        <f t="shared" si="4"/>
        <v>69.077208667305499</v>
      </c>
      <c r="I18" s="128">
        <f t="shared" si="5"/>
        <v>0.1696</v>
      </c>
      <c r="J18" s="128">
        <f t="shared" si="6"/>
        <v>195</v>
      </c>
      <c r="K18" s="128">
        <f t="shared" si="7"/>
        <v>2.8229281953063952</v>
      </c>
      <c r="L18" s="128">
        <f t="shared" si="8"/>
        <v>2.7707584042567257</v>
      </c>
      <c r="M18" s="128">
        <f t="shared" si="9"/>
        <v>2.7707051716309716</v>
      </c>
      <c r="N18" s="128">
        <f t="shared" si="10"/>
        <v>2.770705171576235</v>
      </c>
      <c r="O18" s="128">
        <f t="shared" si="11"/>
        <v>2.770705171576235</v>
      </c>
      <c r="P18" s="128">
        <f t="shared" si="12"/>
        <v>2.770705171576235</v>
      </c>
      <c r="Q18" s="128">
        <f t="shared" si="13"/>
        <v>2.770705171576235</v>
      </c>
      <c r="R18" s="128">
        <f t="shared" si="14"/>
        <v>2.770705171576235</v>
      </c>
      <c r="S18" s="128">
        <f t="shared" si="15"/>
        <v>2.770705171576235</v>
      </c>
      <c r="T18" s="134">
        <f t="shared" si="16"/>
        <v>5.7646776662042813E-2</v>
      </c>
      <c r="U18" s="135">
        <f t="shared" si="17"/>
        <v>83.011358393341652</v>
      </c>
      <c r="W18" t="str">
        <f>TEXT('Scenario med tid på Alpe d''Huez'!A17,"0.0%")</f>
        <v>03%</v>
      </c>
    </row>
    <row r="19" spans="1:23" ht="24" customHeight="1">
      <c r="A19" s="64" t="s">
        <v>174</v>
      </c>
      <c r="B19" s="128">
        <f>'Ekstra - Udfyld din profil'!B20</f>
        <v>76</v>
      </c>
      <c r="C19" s="128">
        <f>'Ekstra - Udfyld din profil'!C20</f>
        <v>215</v>
      </c>
      <c r="D19" s="128">
        <f t="shared" si="0"/>
        <v>1</v>
      </c>
      <c r="E19" s="128">
        <f t="shared" si="1"/>
        <v>215</v>
      </c>
      <c r="F19" s="128">
        <f t="shared" si="2"/>
        <v>2.8289473684210527</v>
      </c>
      <c r="G19" s="128">
        <f t="shared" si="3"/>
        <v>86</v>
      </c>
      <c r="H19" s="128">
        <f t="shared" si="4"/>
        <v>71.809933405792307</v>
      </c>
      <c r="I19" s="128">
        <f t="shared" si="5"/>
        <v>0.1696</v>
      </c>
      <c r="J19" s="128">
        <f t="shared" si="6"/>
        <v>209.625</v>
      </c>
      <c r="K19" s="128">
        <f t="shared" si="7"/>
        <v>2.9191643837827499</v>
      </c>
      <c r="L19" s="128">
        <f t="shared" si="8"/>
        <v>2.8637584580497895</v>
      </c>
      <c r="M19" s="128">
        <f t="shared" si="9"/>
        <v>2.8636988304646689</v>
      </c>
      <c r="N19" s="128">
        <f t="shared" si="10"/>
        <v>2.8636988303964883</v>
      </c>
      <c r="O19" s="128">
        <f t="shared" si="11"/>
        <v>2.8636988303964879</v>
      </c>
      <c r="P19" s="128">
        <f t="shared" si="12"/>
        <v>2.8636988303964879</v>
      </c>
      <c r="Q19" s="128">
        <f t="shared" si="13"/>
        <v>2.8636988303964879</v>
      </c>
      <c r="R19" s="128">
        <f t="shared" si="14"/>
        <v>2.8636988303964879</v>
      </c>
      <c r="S19" s="128">
        <f t="shared" si="15"/>
        <v>2.8636988303964879</v>
      </c>
      <c r="T19" s="134">
        <f t="shared" si="16"/>
        <v>5.5774797449670434E-2</v>
      </c>
      <c r="U19" s="135">
        <f t="shared" si="17"/>
        <v>80.315708327525428</v>
      </c>
      <c r="W19" t="str">
        <f>TEXT('Scenario med tid på Alpe d''Huez'!A18,"0.0%")</f>
        <v>05%</v>
      </c>
    </row>
    <row r="20" spans="1:23" ht="24" customHeight="1">
      <c r="A20" s="64" t="s">
        <v>175</v>
      </c>
      <c r="B20" s="128">
        <f>'Ekstra - Udfyld din profil'!C6</f>
        <v>80</v>
      </c>
      <c r="C20" s="128">
        <f>'Ekstra - Udfyld din profil'!$C$7*(1+'Scenario med tid på Alpe d''Huez'!A16)</f>
        <v>200</v>
      </c>
      <c r="D20" s="128">
        <f t="shared" si="0"/>
        <v>1</v>
      </c>
      <c r="E20" s="128">
        <f t="shared" si="1"/>
        <v>200</v>
      </c>
      <c r="F20" s="128">
        <f t="shared" si="2"/>
        <v>2.5</v>
      </c>
      <c r="G20" s="128">
        <f t="shared" si="3"/>
        <v>90</v>
      </c>
      <c r="H20" s="128">
        <f t="shared" si="4"/>
        <v>75.149930308387297</v>
      </c>
      <c r="I20" s="128">
        <f t="shared" si="5"/>
        <v>0.1696</v>
      </c>
      <c r="J20" s="128">
        <f t="shared" si="6"/>
        <v>195</v>
      </c>
      <c r="K20" s="128">
        <f t="shared" si="7"/>
        <v>2.5948127855846663</v>
      </c>
      <c r="L20" s="128">
        <f t="shared" si="8"/>
        <v>2.5571028636540949</v>
      </c>
      <c r="M20" s="128">
        <f t="shared" si="9"/>
        <v>2.5570790561518599</v>
      </c>
      <c r="N20" s="128">
        <f t="shared" si="10"/>
        <v>2.557079056142463</v>
      </c>
      <c r="O20" s="128">
        <f t="shared" si="11"/>
        <v>2.5570790561424634</v>
      </c>
      <c r="P20" s="128">
        <f t="shared" si="12"/>
        <v>2.557079056142463</v>
      </c>
      <c r="Q20" s="128">
        <f t="shared" si="13"/>
        <v>2.5570790561424634</v>
      </c>
      <c r="R20" s="128">
        <f t="shared" si="14"/>
        <v>2.557079056142463</v>
      </c>
      <c r="S20" s="128">
        <f t="shared" si="15"/>
        <v>2.5570790561424634</v>
      </c>
      <c r="T20" s="134">
        <f t="shared" si="16"/>
        <v>6.2462762673898171E-2</v>
      </c>
      <c r="U20" s="135">
        <f t="shared" si="17"/>
        <v>89.94637825041336</v>
      </c>
      <c r="W20" t="str">
        <f>TEXT('Scenario med tid på Alpe d''Huez'!A19,"0.0%")</f>
        <v>08%</v>
      </c>
    </row>
    <row r="21" spans="1:23" ht="24" customHeight="1">
      <c r="A21" s="64" t="s">
        <v>176</v>
      </c>
      <c r="B21" s="128">
        <f>'Ekstra - Udfyld din profil'!C9</f>
        <v>76</v>
      </c>
      <c r="C21" s="128">
        <f>'Ekstra - Udfyld din profil'!$C$7*(1+'Scenario med tid på Alpe d''Huez'!A16)</f>
        <v>200</v>
      </c>
      <c r="D21" s="128">
        <f t="shared" si="0"/>
        <v>1</v>
      </c>
      <c r="E21" s="128">
        <f t="shared" si="1"/>
        <v>200</v>
      </c>
      <c r="F21" s="128">
        <f t="shared" si="2"/>
        <v>2.6315789473684212</v>
      </c>
      <c r="G21" s="128">
        <f t="shared" si="3"/>
        <v>86</v>
      </c>
      <c r="H21" s="128">
        <f t="shared" si="4"/>
        <v>71.809933405792307</v>
      </c>
      <c r="I21" s="128">
        <f t="shared" si="5"/>
        <v>0.1696</v>
      </c>
      <c r="J21" s="128">
        <f t="shared" si="6"/>
        <v>195</v>
      </c>
      <c r="K21" s="128">
        <f t="shared" si="7"/>
        <v>2.7155017523560465</v>
      </c>
      <c r="L21" s="128">
        <f t="shared" si="8"/>
        <v>2.6705575351612567</v>
      </c>
      <c r="M21" s="128">
        <f t="shared" si="9"/>
        <v>2.6705207435854592</v>
      </c>
      <c r="N21" s="128">
        <f t="shared" si="10"/>
        <v>2.6705207435610778</v>
      </c>
      <c r="O21" s="128">
        <f t="shared" si="11"/>
        <v>2.6705207435610783</v>
      </c>
      <c r="P21" s="128">
        <f t="shared" si="12"/>
        <v>2.6705207435610783</v>
      </c>
      <c r="Q21" s="128">
        <f t="shared" si="13"/>
        <v>2.6705207435610783</v>
      </c>
      <c r="R21" s="128">
        <f t="shared" si="14"/>
        <v>2.6705207435610783</v>
      </c>
      <c r="S21" s="128">
        <f t="shared" si="15"/>
        <v>2.6705207435610783</v>
      </c>
      <c r="T21" s="134">
        <f t="shared" si="16"/>
        <v>5.9809392084794778E-2</v>
      </c>
      <c r="U21" s="135">
        <f t="shared" si="17"/>
        <v>86.125524602104477</v>
      </c>
      <c r="W21" t="str">
        <f>TEXT('Scenario med tid på Alpe d''Huez'!A20,"0.0%")</f>
        <v>10%</v>
      </c>
    </row>
    <row r="22" spans="1:23" ht="24" customHeight="1">
      <c r="A22" s="64" t="s">
        <v>177</v>
      </c>
      <c r="B22" s="128">
        <f>'Ekstra - Udfyld din profil'!C6</f>
        <v>80</v>
      </c>
      <c r="C22" s="128">
        <f>'Ekstra - Udfyld din profil'!$C$7*(1+'Scenario med tid på Alpe d''Huez'!A17)</f>
        <v>204.99999999999997</v>
      </c>
      <c r="D22" s="128">
        <f t="shared" si="0"/>
        <v>1</v>
      </c>
      <c r="E22" s="128">
        <f t="shared" si="1"/>
        <v>204.99999999999997</v>
      </c>
      <c r="F22" s="128">
        <f t="shared" si="2"/>
        <v>2.5624999999999996</v>
      </c>
      <c r="G22" s="128">
        <f t="shared" si="3"/>
        <v>90</v>
      </c>
      <c r="H22" s="128">
        <f t="shared" si="4"/>
        <v>75.149930308387297</v>
      </c>
      <c r="I22" s="128">
        <f t="shared" si="5"/>
        <v>0.1696</v>
      </c>
      <c r="J22" s="128">
        <f t="shared" si="6"/>
        <v>199.87499999999997</v>
      </c>
      <c r="K22" s="128">
        <f t="shared" si="7"/>
        <v>2.6596831052242829</v>
      </c>
      <c r="L22" s="128">
        <f t="shared" si="8"/>
        <v>2.6191630784380457</v>
      </c>
      <c r="M22" s="128">
        <f t="shared" si="9"/>
        <v>2.6191349684829479</v>
      </c>
      <c r="N22" s="128">
        <f t="shared" si="10"/>
        <v>2.6191349684695577</v>
      </c>
      <c r="O22" s="128">
        <f t="shared" si="11"/>
        <v>2.6191349684695582</v>
      </c>
      <c r="P22" s="128">
        <f t="shared" si="12"/>
        <v>2.6191349684695582</v>
      </c>
      <c r="Q22" s="128">
        <f t="shared" si="13"/>
        <v>2.6191349684695582</v>
      </c>
      <c r="R22" s="128">
        <f t="shared" si="14"/>
        <v>2.6191349684695582</v>
      </c>
      <c r="S22" s="128">
        <f t="shared" si="15"/>
        <v>2.6191349684695582</v>
      </c>
      <c r="T22" s="134">
        <f t="shared" si="16"/>
        <v>6.0982814610563152E-2</v>
      </c>
      <c r="U22" s="135">
        <f t="shared" si="17"/>
        <v>87.815253039210944</v>
      </c>
      <c r="W22" t="str">
        <f>TEXT('Scenario med tid på Alpe d''Huez'!A21,"0.0%")</f>
        <v>13%</v>
      </c>
    </row>
    <row r="23" spans="1:23" ht="24" customHeight="1">
      <c r="A23" s="64" t="s">
        <v>178</v>
      </c>
      <c r="B23" s="128">
        <f>'Ekstra - Udfyld din profil'!C9</f>
        <v>76</v>
      </c>
      <c r="C23" s="128">
        <f>'Ekstra - Udfyld din profil'!$C$7*(1+'Scenario med tid på Alpe d''Huez'!A17)</f>
        <v>204.99999999999997</v>
      </c>
      <c r="D23" s="128">
        <f t="shared" si="0"/>
        <v>1</v>
      </c>
      <c r="E23" s="128">
        <f t="shared" si="1"/>
        <v>204.99999999999997</v>
      </c>
      <c r="F23" s="128">
        <f t="shared" si="2"/>
        <v>2.6973684210526314</v>
      </c>
      <c r="G23" s="128">
        <f t="shared" si="3"/>
        <v>86</v>
      </c>
      <c r="H23" s="128">
        <f t="shared" si="4"/>
        <v>71.809933405792307</v>
      </c>
      <c r="I23" s="128">
        <f t="shared" si="5"/>
        <v>0.1696</v>
      </c>
      <c r="J23" s="128">
        <f t="shared" si="6"/>
        <v>199.87499999999997</v>
      </c>
      <c r="K23" s="128">
        <f t="shared" si="7"/>
        <v>2.7833892961649469</v>
      </c>
      <c r="L23" s="128">
        <f t="shared" si="8"/>
        <v>2.7351106471041144</v>
      </c>
      <c r="M23" s="128">
        <f t="shared" si="9"/>
        <v>2.7350672462508161</v>
      </c>
      <c r="N23" s="128">
        <f t="shared" si="10"/>
        <v>2.73506724621615</v>
      </c>
      <c r="O23" s="128">
        <f t="shared" si="11"/>
        <v>2.7350672462161505</v>
      </c>
      <c r="P23" s="128">
        <f t="shared" si="12"/>
        <v>2.73506724621615</v>
      </c>
      <c r="Q23" s="128">
        <f t="shared" si="13"/>
        <v>2.7350672462161505</v>
      </c>
      <c r="R23" s="128">
        <f t="shared" si="14"/>
        <v>2.73506724621615</v>
      </c>
      <c r="S23" s="128">
        <f t="shared" si="15"/>
        <v>2.7350672462161505</v>
      </c>
      <c r="T23" s="134">
        <f t="shared" si="16"/>
        <v>5.8397914143862868E-2</v>
      </c>
      <c r="U23" s="135">
        <f t="shared" si="17"/>
        <v>84.092996367162527</v>
      </c>
      <c r="W23" t="str">
        <f>TEXT('Scenario med tid på Alpe d''Huez'!A22,"0.0%")</f>
        <v>15%</v>
      </c>
    </row>
    <row r="24" spans="1:23" ht="24" customHeight="1">
      <c r="A24" s="64" t="s">
        <v>179</v>
      </c>
      <c r="B24" s="128">
        <f>'Ekstra - Udfyld din profil'!C6</f>
        <v>80</v>
      </c>
      <c r="C24" s="128">
        <f>'Ekstra - Udfyld din profil'!$C$7*(1+'Scenario med tid på Alpe d''Huez'!A18)</f>
        <v>210</v>
      </c>
      <c r="D24" s="128">
        <f t="shared" si="0"/>
        <v>1</v>
      </c>
      <c r="E24" s="128">
        <f t="shared" si="1"/>
        <v>210</v>
      </c>
      <c r="F24" s="128">
        <f t="shared" si="2"/>
        <v>2.625</v>
      </c>
      <c r="G24" s="128">
        <f t="shared" si="3"/>
        <v>90</v>
      </c>
      <c r="H24" s="128">
        <f t="shared" si="4"/>
        <v>75.149930308387297</v>
      </c>
      <c r="I24" s="128">
        <f t="shared" si="5"/>
        <v>0.1696</v>
      </c>
      <c r="J24" s="128">
        <f t="shared" si="6"/>
        <v>204.75</v>
      </c>
      <c r="K24" s="128">
        <f t="shared" si="7"/>
        <v>2.7245534248638998</v>
      </c>
      <c r="L24" s="128">
        <f t="shared" si="8"/>
        <v>2.6810936910494512</v>
      </c>
      <c r="M24" s="128">
        <f t="shared" si="9"/>
        <v>2.6810606438487214</v>
      </c>
      <c r="N24" s="128">
        <f t="shared" si="10"/>
        <v>2.681060643829817</v>
      </c>
      <c r="O24" s="128">
        <f t="shared" si="11"/>
        <v>2.681060643829817</v>
      </c>
      <c r="P24" s="128">
        <f t="shared" si="12"/>
        <v>2.681060643829817</v>
      </c>
      <c r="Q24" s="128">
        <f t="shared" si="13"/>
        <v>2.681060643829817</v>
      </c>
      <c r="R24" s="128">
        <f t="shared" si="14"/>
        <v>2.681060643829817</v>
      </c>
      <c r="S24" s="128">
        <f t="shared" si="15"/>
        <v>2.681060643829817</v>
      </c>
      <c r="T24" s="134">
        <f t="shared" si="16"/>
        <v>5.9574266844655804E-2</v>
      </c>
      <c r="U24" s="135">
        <f t="shared" si="17"/>
        <v>85.786944256304352</v>
      </c>
      <c r="W24" t="str">
        <f>TEXT('Scenario med tid på Alpe d''Huez'!A23,"0.0%")</f>
        <v>18%</v>
      </c>
    </row>
    <row r="25" spans="1:23" ht="24" customHeight="1">
      <c r="A25" s="64" t="s">
        <v>180</v>
      </c>
      <c r="B25" s="128">
        <f>'Ekstra - Udfyld din profil'!C9</f>
        <v>76</v>
      </c>
      <c r="C25" s="128">
        <f>'Ekstra - Udfyld din profil'!$C$7*(1+'Scenario med tid på Alpe d''Huez'!A18)</f>
        <v>210</v>
      </c>
      <c r="D25" s="128">
        <f t="shared" si="0"/>
        <v>1</v>
      </c>
      <c r="E25" s="128">
        <f t="shared" si="1"/>
        <v>210</v>
      </c>
      <c r="F25" s="128">
        <f t="shared" si="2"/>
        <v>2.763157894736842</v>
      </c>
      <c r="G25" s="128">
        <f t="shared" si="3"/>
        <v>86</v>
      </c>
      <c r="H25" s="128">
        <f t="shared" si="4"/>
        <v>71.809933405792307</v>
      </c>
      <c r="I25" s="128">
        <f t="shared" si="5"/>
        <v>0.1696</v>
      </c>
      <c r="J25" s="128">
        <f t="shared" si="6"/>
        <v>204.75</v>
      </c>
      <c r="K25" s="128">
        <f t="shared" si="7"/>
        <v>2.8512768399738486</v>
      </c>
      <c r="L25" s="128">
        <f t="shared" si="8"/>
        <v>2.7995117451928517</v>
      </c>
      <c r="M25" s="128">
        <f t="shared" si="9"/>
        <v>2.7994607687837965</v>
      </c>
      <c r="N25" s="128">
        <f t="shared" si="10"/>
        <v>2.799460768734964</v>
      </c>
      <c r="O25" s="128">
        <f t="shared" si="11"/>
        <v>2.7994607687349635</v>
      </c>
      <c r="P25" s="128">
        <f t="shared" si="12"/>
        <v>2.7994607687349635</v>
      </c>
      <c r="Q25" s="128">
        <f t="shared" si="13"/>
        <v>2.7994607687349635</v>
      </c>
      <c r="R25" s="128">
        <f t="shared" si="14"/>
        <v>2.7994607687349635</v>
      </c>
      <c r="S25" s="128">
        <f t="shared" si="15"/>
        <v>2.7994607687349635</v>
      </c>
      <c r="T25" s="134">
        <f t="shared" si="16"/>
        <v>5.7054638523974889E-2</v>
      </c>
      <c r="U25" s="135">
        <f t="shared" si="17"/>
        <v>82.158679474523836</v>
      </c>
      <c r="W25" t="str">
        <f>TEXT('Scenario med tid på Alpe d''Huez'!A24,"0.0%")</f>
        <v>20%</v>
      </c>
    </row>
    <row r="26" spans="1:23" ht="24" customHeight="1">
      <c r="A26" s="64" t="s">
        <v>181</v>
      </c>
      <c r="B26" s="128">
        <f>'Ekstra - Udfyld din profil'!C6</f>
        <v>80</v>
      </c>
      <c r="C26" s="128">
        <f>'Ekstra - Udfyld din profil'!$C$7*(1+'Scenario med tid på Alpe d''Huez'!A19)</f>
        <v>215</v>
      </c>
      <c r="D26" s="128">
        <f t="shared" si="0"/>
        <v>1</v>
      </c>
      <c r="E26" s="128">
        <f t="shared" si="1"/>
        <v>215</v>
      </c>
      <c r="F26" s="128">
        <f t="shared" si="2"/>
        <v>2.6875</v>
      </c>
      <c r="G26" s="128">
        <f t="shared" si="3"/>
        <v>90</v>
      </c>
      <c r="H26" s="128">
        <f t="shared" si="4"/>
        <v>75.149930308387297</v>
      </c>
      <c r="I26" s="128">
        <f t="shared" si="5"/>
        <v>0.1696</v>
      </c>
      <c r="J26" s="128">
        <f t="shared" si="6"/>
        <v>209.625</v>
      </c>
      <c r="K26" s="128">
        <f t="shared" si="7"/>
        <v>2.7894237445035164</v>
      </c>
      <c r="L26" s="128">
        <f t="shared" si="8"/>
        <v>2.7428925408195717</v>
      </c>
      <c r="M26" s="128">
        <f t="shared" si="9"/>
        <v>2.742853848642286</v>
      </c>
      <c r="N26" s="128">
        <f t="shared" si="10"/>
        <v>2.742853848615832</v>
      </c>
      <c r="O26" s="128">
        <f t="shared" si="11"/>
        <v>2.742853848615832</v>
      </c>
      <c r="P26" s="128">
        <f t="shared" si="12"/>
        <v>2.742853848615832</v>
      </c>
      <c r="Q26" s="128">
        <f t="shared" si="13"/>
        <v>2.742853848615832</v>
      </c>
      <c r="R26" s="128">
        <f t="shared" si="14"/>
        <v>2.742853848615832</v>
      </c>
      <c r="S26" s="128">
        <f t="shared" si="15"/>
        <v>2.742853848615832</v>
      </c>
      <c r="T26" s="134">
        <f t="shared" si="16"/>
        <v>5.8232130123457099E-2</v>
      </c>
      <c r="U26" s="135">
        <f t="shared" si="17"/>
        <v>83.854267377778228</v>
      </c>
    </row>
    <row r="27" spans="1:23" ht="24" customHeight="1">
      <c r="A27" s="64" t="s">
        <v>182</v>
      </c>
      <c r="B27" s="128">
        <f>'Ekstra - Udfyld din profil'!C9</f>
        <v>76</v>
      </c>
      <c r="C27" s="128">
        <f>'Ekstra - Udfyld din profil'!$C$7*(1+'Scenario med tid på Alpe d''Huez'!A19)</f>
        <v>215</v>
      </c>
      <c r="D27" s="128">
        <f t="shared" si="0"/>
        <v>1</v>
      </c>
      <c r="E27" s="128">
        <f t="shared" si="1"/>
        <v>215</v>
      </c>
      <c r="F27" s="128">
        <f t="shared" si="2"/>
        <v>2.8289473684210527</v>
      </c>
      <c r="G27" s="128">
        <f t="shared" si="3"/>
        <v>86</v>
      </c>
      <c r="H27" s="128">
        <f t="shared" si="4"/>
        <v>71.809933405792307</v>
      </c>
      <c r="I27" s="128">
        <f t="shared" si="5"/>
        <v>0.1696</v>
      </c>
      <c r="J27" s="128">
        <f t="shared" si="6"/>
        <v>209.625</v>
      </c>
      <c r="K27" s="128">
        <f t="shared" si="7"/>
        <v>2.9191643837827499</v>
      </c>
      <c r="L27" s="128">
        <f t="shared" si="8"/>
        <v>2.8637584580497895</v>
      </c>
      <c r="M27" s="128">
        <f t="shared" si="9"/>
        <v>2.8636988304646689</v>
      </c>
      <c r="N27" s="128">
        <f t="shared" si="10"/>
        <v>2.8636988303964883</v>
      </c>
      <c r="O27" s="128">
        <f t="shared" si="11"/>
        <v>2.8636988303964879</v>
      </c>
      <c r="P27" s="128">
        <f t="shared" si="12"/>
        <v>2.8636988303964879</v>
      </c>
      <c r="Q27" s="128">
        <f t="shared" si="13"/>
        <v>2.8636988303964879</v>
      </c>
      <c r="R27" s="128">
        <f t="shared" si="14"/>
        <v>2.8636988303964879</v>
      </c>
      <c r="S27" s="128">
        <f t="shared" si="15"/>
        <v>2.8636988303964879</v>
      </c>
      <c r="T27" s="134">
        <f t="shared" si="16"/>
        <v>5.5774797449670434E-2</v>
      </c>
      <c r="U27" s="135">
        <f t="shared" si="17"/>
        <v>80.315708327525428</v>
      </c>
    </row>
    <row r="28" spans="1:23" ht="24" customHeight="1">
      <c r="A28" s="64" t="s">
        <v>183</v>
      </c>
      <c r="B28" s="128">
        <f>'Ekstra - Udfyld din profil'!C6</f>
        <v>80</v>
      </c>
      <c r="C28" s="128">
        <f>'Ekstra - Udfyld din profil'!$C$7*(1+'Scenario med tid på Alpe d''Huez'!A20)</f>
        <v>220.00000000000003</v>
      </c>
      <c r="D28" s="128">
        <f t="shared" si="0"/>
        <v>1</v>
      </c>
      <c r="E28" s="128">
        <f t="shared" si="1"/>
        <v>220.00000000000003</v>
      </c>
      <c r="F28" s="128">
        <f t="shared" si="2"/>
        <v>2.7500000000000004</v>
      </c>
      <c r="G28" s="128">
        <f t="shared" si="3"/>
        <v>90</v>
      </c>
      <c r="H28" s="128">
        <f t="shared" si="4"/>
        <v>75.149930308387297</v>
      </c>
      <c r="I28" s="128">
        <f t="shared" si="5"/>
        <v>0.1696</v>
      </c>
      <c r="J28" s="128">
        <f t="shared" si="6"/>
        <v>214.50000000000003</v>
      </c>
      <c r="K28" s="128">
        <f t="shared" si="7"/>
        <v>2.8542940641431334</v>
      </c>
      <c r="L28" s="128">
        <f t="shared" si="8"/>
        <v>2.8045575293765701</v>
      </c>
      <c r="M28" s="128">
        <f t="shared" si="9"/>
        <v>2.8045124055923552</v>
      </c>
      <c r="N28" s="128">
        <f t="shared" si="10"/>
        <v>2.8045124055556472</v>
      </c>
      <c r="O28" s="128">
        <f t="shared" si="11"/>
        <v>2.8045124055556476</v>
      </c>
      <c r="P28" s="128">
        <f t="shared" si="12"/>
        <v>2.8045124055556476</v>
      </c>
      <c r="Q28" s="128">
        <f t="shared" si="13"/>
        <v>2.8045124055556476</v>
      </c>
      <c r="R28" s="128">
        <f t="shared" si="14"/>
        <v>2.8045124055556476</v>
      </c>
      <c r="S28" s="128">
        <f t="shared" si="15"/>
        <v>2.8045124055556476</v>
      </c>
      <c r="T28" s="134">
        <f t="shared" si="16"/>
        <v>5.6951868676286724E-2</v>
      </c>
      <c r="U28" s="135">
        <f t="shared" si="17"/>
        <v>82.010690893852882</v>
      </c>
    </row>
    <row r="29" spans="1:23" ht="24" customHeight="1">
      <c r="A29" s="64" t="s">
        <v>184</v>
      </c>
      <c r="B29" s="128">
        <f>'Ekstra - Udfyld din profil'!C9</f>
        <v>76</v>
      </c>
      <c r="C29" s="128">
        <f>'Ekstra - Udfyld din profil'!$C$7*(1+'Scenario med tid på Alpe d''Huez'!A20)</f>
        <v>220.00000000000003</v>
      </c>
      <c r="D29" s="128">
        <f t="shared" si="0"/>
        <v>1</v>
      </c>
      <c r="E29" s="128">
        <f t="shared" si="1"/>
        <v>220.00000000000003</v>
      </c>
      <c r="F29" s="128">
        <f t="shared" si="2"/>
        <v>2.8947368421052637</v>
      </c>
      <c r="G29" s="128">
        <f t="shared" si="3"/>
        <v>86</v>
      </c>
      <c r="H29" s="128">
        <f t="shared" si="4"/>
        <v>71.809933405792307</v>
      </c>
      <c r="I29" s="128">
        <f t="shared" si="5"/>
        <v>0.1696</v>
      </c>
      <c r="J29" s="128">
        <f t="shared" si="6"/>
        <v>214.50000000000003</v>
      </c>
      <c r="K29" s="128">
        <f t="shared" si="7"/>
        <v>2.9870519275916512</v>
      </c>
      <c r="L29" s="128">
        <f t="shared" si="8"/>
        <v>2.9278484956680293</v>
      </c>
      <c r="M29" s="128">
        <f t="shared" si="9"/>
        <v>2.9277790232735108</v>
      </c>
      <c r="N29" s="128">
        <f t="shared" si="10"/>
        <v>2.927779023179121</v>
      </c>
      <c r="O29" s="128">
        <f t="shared" si="11"/>
        <v>2.9277790231791205</v>
      </c>
      <c r="P29" s="128">
        <f t="shared" si="12"/>
        <v>2.927779023179121</v>
      </c>
      <c r="Q29" s="128">
        <f t="shared" si="13"/>
        <v>2.9277790231791205</v>
      </c>
      <c r="R29" s="128">
        <f t="shared" si="14"/>
        <v>2.927779023179121</v>
      </c>
      <c r="S29" s="128">
        <f t="shared" si="15"/>
        <v>2.9277790231791205</v>
      </c>
      <c r="T29" s="134">
        <f t="shared" si="16"/>
        <v>5.4554056490502587E-2</v>
      </c>
      <c r="U29" s="135">
        <f t="shared" si="17"/>
        <v>78.557841346323727</v>
      </c>
    </row>
    <row r="30" spans="1:23" ht="24" customHeight="1">
      <c r="A30" s="64" t="s">
        <v>185</v>
      </c>
      <c r="B30" s="128">
        <f>'Ekstra - Udfyld din profil'!C6</f>
        <v>80</v>
      </c>
      <c r="C30" s="128">
        <f>'Ekstra - Udfyld din profil'!$C$7*(1+'Scenario med tid på Alpe d''Huez'!A21)</f>
        <v>225</v>
      </c>
      <c r="D30" s="128">
        <f t="shared" si="0"/>
        <v>1</v>
      </c>
      <c r="E30" s="128">
        <f t="shared" si="1"/>
        <v>225</v>
      </c>
      <c r="F30" s="128">
        <f t="shared" si="2"/>
        <v>2.8125</v>
      </c>
      <c r="G30" s="128">
        <f t="shared" si="3"/>
        <v>90</v>
      </c>
      <c r="H30" s="128">
        <f t="shared" si="4"/>
        <v>75.149930308387297</v>
      </c>
      <c r="I30" s="128">
        <f t="shared" si="5"/>
        <v>0.1696</v>
      </c>
      <c r="J30" s="128">
        <f t="shared" si="6"/>
        <v>219.375</v>
      </c>
      <c r="K30" s="128">
        <f t="shared" si="7"/>
        <v>2.9191643837827499</v>
      </c>
      <c r="L30" s="128">
        <f t="shared" si="8"/>
        <v>2.8660866210627955</v>
      </c>
      <c r="M30" s="128">
        <f t="shared" si="9"/>
        <v>2.8660341939110339</v>
      </c>
      <c r="N30" s="128">
        <f t="shared" si="10"/>
        <v>2.8660341938605081</v>
      </c>
      <c r="O30" s="128">
        <f t="shared" si="11"/>
        <v>2.8660341938605081</v>
      </c>
      <c r="P30" s="128">
        <f t="shared" si="12"/>
        <v>2.8660341938605081</v>
      </c>
      <c r="Q30" s="128">
        <f t="shared" si="13"/>
        <v>2.8660341938605081</v>
      </c>
      <c r="R30" s="128">
        <f t="shared" si="14"/>
        <v>2.8660341938605081</v>
      </c>
      <c r="S30" s="128">
        <f t="shared" si="15"/>
        <v>2.8660341938605081</v>
      </c>
      <c r="T30" s="134">
        <f t="shared" si="16"/>
        <v>5.572934983273127E-2</v>
      </c>
      <c r="U30" s="135">
        <f t="shared" si="17"/>
        <v>80.250263759133034</v>
      </c>
    </row>
    <row r="31" spans="1:23" ht="24" customHeight="1">
      <c r="A31" s="64" t="s">
        <v>186</v>
      </c>
      <c r="B31" s="128">
        <f>'Ekstra - Udfyld din profil'!C9</f>
        <v>76</v>
      </c>
      <c r="C31" s="128">
        <f>'Ekstra - Udfyld din profil'!$C$7*(1+'Scenario med tid på Alpe d''Huez'!A21)</f>
        <v>225</v>
      </c>
      <c r="D31" s="128">
        <f t="shared" si="0"/>
        <v>1</v>
      </c>
      <c r="E31" s="128">
        <f t="shared" si="1"/>
        <v>225</v>
      </c>
      <c r="F31" s="128">
        <f t="shared" si="2"/>
        <v>2.9605263157894739</v>
      </c>
      <c r="G31" s="128">
        <f t="shared" si="3"/>
        <v>86</v>
      </c>
      <c r="H31" s="128">
        <f t="shared" si="4"/>
        <v>71.809933405792307</v>
      </c>
      <c r="I31" s="128">
        <f t="shared" si="5"/>
        <v>0.1696</v>
      </c>
      <c r="J31" s="128">
        <f t="shared" si="6"/>
        <v>219.375</v>
      </c>
      <c r="K31" s="128">
        <f t="shared" si="7"/>
        <v>3.054939471400552</v>
      </c>
      <c r="L31" s="128">
        <f t="shared" si="8"/>
        <v>2.9917796497550344</v>
      </c>
      <c r="M31" s="128">
        <f t="shared" si="9"/>
        <v>2.9916990118760025</v>
      </c>
      <c r="N31" s="128">
        <f t="shared" si="10"/>
        <v>2.9916990117463849</v>
      </c>
      <c r="O31" s="128">
        <f t="shared" si="11"/>
        <v>2.9916990117463853</v>
      </c>
      <c r="P31" s="128">
        <f t="shared" si="12"/>
        <v>2.9916990117463849</v>
      </c>
      <c r="Q31" s="128">
        <f t="shared" si="13"/>
        <v>2.9916990117463853</v>
      </c>
      <c r="R31" s="128">
        <f t="shared" si="14"/>
        <v>2.9916990117463849</v>
      </c>
      <c r="S31" s="128">
        <f t="shared" si="15"/>
        <v>2.9916990117463853</v>
      </c>
      <c r="T31" s="134">
        <f t="shared" si="16"/>
        <v>5.3388466418279629E-2</v>
      </c>
      <c r="U31" s="135">
        <f t="shared" si="17"/>
        <v>76.879391642322659</v>
      </c>
    </row>
    <row r="32" spans="1:23" ht="24" customHeight="1">
      <c r="A32" s="64" t="s">
        <v>187</v>
      </c>
      <c r="B32" s="128">
        <f>'Ekstra - Udfyld din profil'!C6</f>
        <v>80</v>
      </c>
      <c r="C32" s="128">
        <f>'Ekstra - Udfyld din profil'!$C$7*(1+'Scenario med tid på Alpe d''Huez'!A22)</f>
        <v>229.99999999999997</v>
      </c>
      <c r="D32" s="128">
        <f t="shared" si="0"/>
        <v>1</v>
      </c>
      <c r="E32" s="128">
        <f t="shared" si="1"/>
        <v>229.99999999999997</v>
      </c>
      <c r="F32" s="128">
        <f t="shared" si="2"/>
        <v>2.8749999999999996</v>
      </c>
      <c r="G32" s="128">
        <f t="shared" si="3"/>
        <v>90</v>
      </c>
      <c r="H32" s="128">
        <f t="shared" si="4"/>
        <v>75.149930308387297</v>
      </c>
      <c r="I32" s="128">
        <f t="shared" si="5"/>
        <v>0.1696</v>
      </c>
      <c r="J32" s="128">
        <f t="shared" si="6"/>
        <v>224.24999999999997</v>
      </c>
      <c r="K32" s="128">
        <f t="shared" si="7"/>
        <v>2.984034703422366</v>
      </c>
      <c r="L32" s="128">
        <f t="shared" si="8"/>
        <v>2.9274778432957338</v>
      </c>
      <c r="M32" s="128">
        <f t="shared" si="9"/>
        <v>2.9274171493875332</v>
      </c>
      <c r="N32" s="128">
        <f t="shared" si="10"/>
        <v>2.9274171493185239</v>
      </c>
      <c r="O32" s="128">
        <f t="shared" si="11"/>
        <v>2.9274171493185244</v>
      </c>
      <c r="P32" s="128">
        <f t="shared" si="12"/>
        <v>2.9274171493185239</v>
      </c>
      <c r="Q32" s="128">
        <f t="shared" si="13"/>
        <v>2.9274171493185244</v>
      </c>
      <c r="R32" s="128">
        <f t="shared" si="14"/>
        <v>2.9274171493185239</v>
      </c>
      <c r="S32" s="128">
        <f t="shared" si="15"/>
        <v>2.9274171493185244</v>
      </c>
      <c r="T32" s="134">
        <f t="shared" si="16"/>
        <v>5.4560800212366069E-2</v>
      </c>
      <c r="U32" s="135">
        <f t="shared" si="17"/>
        <v>78.567552305807141</v>
      </c>
    </row>
    <row r="33" spans="1:21" ht="24" customHeight="1">
      <c r="A33" s="64" t="s">
        <v>188</v>
      </c>
      <c r="B33" s="128">
        <f>'Ekstra - Udfyld din profil'!C9</f>
        <v>76</v>
      </c>
      <c r="C33" s="128">
        <f>'Ekstra - Udfyld din profil'!$C$7*(1+'Scenario med tid på Alpe d''Huez'!A22)</f>
        <v>229.99999999999997</v>
      </c>
      <c r="D33" s="128">
        <f t="shared" si="0"/>
        <v>1</v>
      </c>
      <c r="E33" s="128">
        <f t="shared" si="1"/>
        <v>229.99999999999997</v>
      </c>
      <c r="F33" s="128">
        <f t="shared" si="2"/>
        <v>3.0263157894736836</v>
      </c>
      <c r="G33" s="128">
        <f t="shared" si="3"/>
        <v>86</v>
      </c>
      <c r="H33" s="128">
        <f t="shared" si="4"/>
        <v>71.809933405792307</v>
      </c>
      <c r="I33" s="128">
        <f t="shared" si="5"/>
        <v>0.1696</v>
      </c>
      <c r="J33" s="128">
        <f t="shared" si="6"/>
        <v>224.24999999999997</v>
      </c>
      <c r="K33" s="128">
        <f t="shared" si="7"/>
        <v>3.1228270152094528</v>
      </c>
      <c r="L33" s="128">
        <f t="shared" si="8"/>
        <v>3.055549793995926</v>
      </c>
      <c r="M33" s="128">
        <f t="shared" si="9"/>
        <v>3.055456533535847</v>
      </c>
      <c r="N33" s="128">
        <f t="shared" si="10"/>
        <v>3.0554565333592332</v>
      </c>
      <c r="O33" s="128">
        <f t="shared" si="11"/>
        <v>3.0554565333592332</v>
      </c>
      <c r="P33" s="128">
        <f t="shared" si="12"/>
        <v>3.0554565333592332</v>
      </c>
      <c r="Q33" s="128">
        <f t="shared" si="13"/>
        <v>3.0554565333592332</v>
      </c>
      <c r="R33" s="128">
        <f t="shared" si="14"/>
        <v>3.0554565333592332</v>
      </c>
      <c r="S33" s="128">
        <f t="shared" si="15"/>
        <v>3.0554565333592332</v>
      </c>
      <c r="T33" s="134">
        <f t="shared" si="16"/>
        <v>5.2274421343713323E-2</v>
      </c>
      <c r="U33" s="135">
        <f t="shared" si="17"/>
        <v>75.275166734947192</v>
      </c>
    </row>
    <row r="34" spans="1:21" ht="24" customHeight="1">
      <c r="A34" s="64" t="s">
        <v>189</v>
      </c>
      <c r="B34" s="128">
        <f>'Ekstra - Udfyld din profil'!C6</f>
        <v>80</v>
      </c>
      <c r="C34" s="128">
        <f>'Ekstra - Udfyld din profil'!$C$7*(1+'Scenario med tid på Alpe d''Huez'!A23)</f>
        <v>235</v>
      </c>
      <c r="D34" s="128">
        <f t="shared" si="0"/>
        <v>1</v>
      </c>
      <c r="E34" s="128">
        <f t="shared" si="1"/>
        <v>235</v>
      </c>
      <c r="F34" s="128">
        <f t="shared" si="2"/>
        <v>2.9375</v>
      </c>
      <c r="G34" s="128">
        <f t="shared" si="3"/>
        <v>90</v>
      </c>
      <c r="H34" s="128">
        <f t="shared" si="4"/>
        <v>75.149930308387297</v>
      </c>
      <c r="I34" s="128">
        <f t="shared" si="5"/>
        <v>0.1696</v>
      </c>
      <c r="J34" s="128">
        <f t="shared" si="6"/>
        <v>229.125</v>
      </c>
      <c r="K34" s="128">
        <f t="shared" si="7"/>
        <v>3.048905023061983</v>
      </c>
      <c r="L34" s="128">
        <f t="shared" si="8"/>
        <v>2.9887292868731263</v>
      </c>
      <c r="M34" s="128">
        <f t="shared" si="9"/>
        <v>2.9886592644291197</v>
      </c>
      <c r="N34" s="128">
        <f t="shared" si="10"/>
        <v>2.9886592643355625</v>
      </c>
      <c r="O34" s="128">
        <f t="shared" si="11"/>
        <v>2.9886592643355625</v>
      </c>
      <c r="P34" s="128">
        <f t="shared" si="12"/>
        <v>2.9886592643355625</v>
      </c>
      <c r="Q34" s="128">
        <f t="shared" si="13"/>
        <v>2.9886592643355625</v>
      </c>
      <c r="R34" s="128">
        <f t="shared" si="14"/>
        <v>2.9886592643355625</v>
      </c>
      <c r="S34" s="128">
        <f t="shared" si="15"/>
        <v>2.9886592643355625</v>
      </c>
      <c r="T34" s="134">
        <f t="shared" si="16"/>
        <v>5.3442767507232571E-2</v>
      </c>
      <c r="U34" s="135">
        <f t="shared" si="17"/>
        <v>76.957585210414905</v>
      </c>
    </row>
    <row r="35" spans="1:21" ht="24" customHeight="1">
      <c r="A35" s="64" t="s">
        <v>190</v>
      </c>
      <c r="B35" s="128">
        <f>'Ekstra - Udfyld din profil'!C9</f>
        <v>76</v>
      </c>
      <c r="C35" s="128">
        <f>'Ekstra - Udfyld din profil'!$C$7*(1+'Scenario med tid på Alpe d''Huez'!A23)</f>
        <v>235</v>
      </c>
      <c r="D35" s="128">
        <f t="shared" si="0"/>
        <v>1</v>
      </c>
      <c r="E35" s="128">
        <f t="shared" si="1"/>
        <v>235</v>
      </c>
      <c r="F35" s="128">
        <f t="shared" si="2"/>
        <v>3.0921052631578947</v>
      </c>
      <c r="G35" s="128">
        <f t="shared" si="3"/>
        <v>86</v>
      </c>
      <c r="H35" s="128">
        <f t="shared" si="4"/>
        <v>71.809933405792307</v>
      </c>
      <c r="I35" s="128">
        <f t="shared" si="5"/>
        <v>0.1696</v>
      </c>
      <c r="J35" s="128">
        <f t="shared" si="6"/>
        <v>229.125</v>
      </c>
      <c r="K35" s="128">
        <f t="shared" si="7"/>
        <v>3.1907145590183545</v>
      </c>
      <c r="L35" s="128">
        <f t="shared" si="8"/>
        <v>3.1191568842376336</v>
      </c>
      <c r="M35" s="128">
        <f t="shared" si="9"/>
        <v>3.1190493979561786</v>
      </c>
      <c r="N35" s="128">
        <f t="shared" si="10"/>
        <v>3.1190493977173142</v>
      </c>
      <c r="O35" s="128">
        <f t="shared" si="11"/>
        <v>3.1190493977173142</v>
      </c>
      <c r="P35" s="128">
        <f t="shared" si="12"/>
        <v>3.1190493977173142</v>
      </c>
      <c r="Q35" s="128">
        <f t="shared" si="13"/>
        <v>3.1190493977173142</v>
      </c>
      <c r="R35" s="128">
        <f t="shared" si="14"/>
        <v>3.1190493977173142</v>
      </c>
      <c r="S35" s="128">
        <f t="shared" si="15"/>
        <v>3.1190493977173142</v>
      </c>
      <c r="T35" s="134">
        <f t="shared" si="16"/>
        <v>5.1208622197235931E-2</v>
      </c>
      <c r="U35" s="135">
        <f t="shared" si="17"/>
        <v>73.740415964019746</v>
      </c>
    </row>
    <row r="36" spans="1:21" ht="24" customHeight="1">
      <c r="A36" s="64" t="s">
        <v>191</v>
      </c>
      <c r="B36" s="128">
        <f>'Ekstra - Udfyld din profil'!C6</f>
        <v>80</v>
      </c>
      <c r="C36" s="128">
        <f>'Ekstra - Udfyld din profil'!$C$7*(1+'Scenario med tid på Alpe d''Huez'!A24)</f>
        <v>240</v>
      </c>
      <c r="D36" s="128">
        <f t="shared" si="0"/>
        <v>1</v>
      </c>
      <c r="E36" s="128">
        <f t="shared" si="1"/>
        <v>240</v>
      </c>
      <c r="F36" s="128">
        <f t="shared" si="2"/>
        <v>3</v>
      </c>
      <c r="G36" s="128">
        <f t="shared" si="3"/>
        <v>90</v>
      </c>
      <c r="H36" s="128">
        <f t="shared" si="4"/>
        <v>75.149930308387297</v>
      </c>
      <c r="I36" s="128">
        <f t="shared" si="5"/>
        <v>0.1696</v>
      </c>
      <c r="J36" s="128">
        <f t="shared" si="6"/>
        <v>234</v>
      </c>
      <c r="K36" s="128">
        <f t="shared" si="7"/>
        <v>3.1137753427015999</v>
      </c>
      <c r="L36" s="128">
        <f t="shared" si="8"/>
        <v>3.0498391062228398</v>
      </c>
      <c r="M36" s="128">
        <f t="shared" si="9"/>
        <v>3.0497585880507025</v>
      </c>
      <c r="N36" s="128">
        <f t="shared" si="10"/>
        <v>3.0497585879247646</v>
      </c>
      <c r="O36" s="128">
        <f t="shared" si="11"/>
        <v>3.0497585879247646</v>
      </c>
      <c r="P36" s="128">
        <f t="shared" si="12"/>
        <v>3.0497585879247646</v>
      </c>
      <c r="Q36" s="128">
        <f t="shared" si="13"/>
        <v>3.0497585879247646</v>
      </c>
      <c r="R36" s="128">
        <f t="shared" si="14"/>
        <v>3.0497585879247646</v>
      </c>
      <c r="S36" s="128">
        <f t="shared" si="15"/>
        <v>3.0497585879247646</v>
      </c>
      <c r="T36" s="134">
        <f t="shared" si="16"/>
        <v>5.237208704145551E-2</v>
      </c>
      <c r="U36" s="135">
        <f t="shared" si="17"/>
        <v>75.415805339695936</v>
      </c>
    </row>
    <row r="37" spans="1:21" ht="24" customHeight="1">
      <c r="A37" s="64" t="s">
        <v>192</v>
      </c>
      <c r="B37" s="128">
        <f>'Ekstra - Udfyld din profil'!C9</f>
        <v>76</v>
      </c>
      <c r="C37" s="128">
        <f>'Ekstra - Udfyld din profil'!$C$7*(1+'Scenario med tid på Alpe d''Huez'!A24)</f>
        <v>240</v>
      </c>
      <c r="D37" s="128">
        <f t="shared" si="0"/>
        <v>1</v>
      </c>
      <c r="E37" s="128">
        <f t="shared" si="1"/>
        <v>240</v>
      </c>
      <c r="F37" s="128">
        <f t="shared" si="2"/>
        <v>3.1578947368421053</v>
      </c>
      <c r="G37" s="128">
        <f t="shared" si="3"/>
        <v>86</v>
      </c>
      <c r="H37" s="128">
        <f t="shared" si="4"/>
        <v>71.809933405792307</v>
      </c>
      <c r="I37" s="128">
        <f t="shared" si="5"/>
        <v>0.1696</v>
      </c>
      <c r="J37" s="128">
        <f t="shared" si="6"/>
        <v>234</v>
      </c>
      <c r="K37" s="128">
        <f t="shared" si="7"/>
        <v>3.2586021028272554</v>
      </c>
      <c r="L37" s="128">
        <f t="shared" si="8"/>
        <v>3.1825989585951695</v>
      </c>
      <c r="M37" s="128">
        <f t="shared" si="9"/>
        <v>3.182475487052415</v>
      </c>
      <c r="N37" s="128">
        <f t="shared" si="10"/>
        <v>3.1824754867316591</v>
      </c>
      <c r="O37" s="128">
        <f t="shared" si="11"/>
        <v>3.1824754867316591</v>
      </c>
      <c r="P37" s="128">
        <f t="shared" si="12"/>
        <v>3.1824754867316591</v>
      </c>
      <c r="Q37" s="128">
        <f t="shared" si="13"/>
        <v>3.1824754867316591</v>
      </c>
      <c r="R37" s="128">
        <f t="shared" si="14"/>
        <v>3.1824754867316591</v>
      </c>
      <c r="S37" s="128">
        <f t="shared" si="15"/>
        <v>3.1824754867316591</v>
      </c>
      <c r="T37" s="134">
        <f t="shared" si="16"/>
        <v>5.018804477462098E-2</v>
      </c>
      <c r="U37" s="135">
        <f t="shared" si="17"/>
        <v>72.270784475454207</v>
      </c>
    </row>
    <row r="38" spans="1:21" ht="24" customHeight="1">
      <c r="A38" s="64" t="s">
        <v>193</v>
      </c>
      <c r="B38" s="128">
        <f>'Ekstra - Udfyld din profil'!C6</f>
        <v>80</v>
      </c>
      <c r="C38" s="128">
        <f>'Scenario med tid på Alpe d''Huez'!B31</f>
        <v>120</v>
      </c>
      <c r="D38" s="128">
        <f>1</f>
        <v>1</v>
      </c>
      <c r="E38" s="128">
        <f t="shared" si="1"/>
        <v>120</v>
      </c>
      <c r="F38" s="128">
        <f t="shared" si="2"/>
        <v>1.5</v>
      </c>
      <c r="G38" s="128">
        <f t="shared" si="3"/>
        <v>90</v>
      </c>
      <c r="H38" s="128">
        <f t="shared" si="4"/>
        <v>75.149930308387297</v>
      </c>
      <c r="I38" s="128">
        <f t="shared" si="5"/>
        <v>0.1696</v>
      </c>
      <c r="J38" s="128">
        <f t="shared" si="6"/>
        <v>117</v>
      </c>
      <c r="K38" s="128">
        <f t="shared" si="7"/>
        <v>1.5568876713508</v>
      </c>
      <c r="L38" s="128">
        <f t="shared" si="8"/>
        <v>1.5485085249268087</v>
      </c>
      <c r="M38" s="128">
        <f t="shared" si="9"/>
        <v>1.5485077979819082</v>
      </c>
      <c r="N38" s="128">
        <f t="shared" si="10"/>
        <v>1.5485077979819029</v>
      </c>
      <c r="O38" s="128">
        <f t="shared" si="11"/>
        <v>1.5485077979819026</v>
      </c>
      <c r="P38" s="128">
        <f t="shared" si="12"/>
        <v>1.5485077979819029</v>
      </c>
      <c r="Q38" s="128">
        <f t="shared" si="13"/>
        <v>1.5485077979819026</v>
      </c>
      <c r="R38" s="128">
        <f t="shared" si="14"/>
        <v>1.5485077979819029</v>
      </c>
      <c r="S38" s="128">
        <f t="shared" si="15"/>
        <v>1.5485077979819026</v>
      </c>
      <c r="T38" s="134">
        <f t="shared" si="16"/>
        <v>0.10314589466735696</v>
      </c>
      <c r="U38" s="135">
        <f t="shared" si="17"/>
        <v>148.53008832099403</v>
      </c>
    </row>
    <row r="39" spans="1:21" ht="24" customHeight="1">
      <c r="A39" s="64" t="s">
        <v>194</v>
      </c>
      <c r="B39" s="128">
        <f>'Ekstra - Udfyld din profil'!C6</f>
        <v>80</v>
      </c>
      <c r="C39" s="128">
        <f>'Scenario med tid på Alpe d''Huez'!B32</f>
        <v>140</v>
      </c>
      <c r="D39" s="128">
        <f>1</f>
        <v>1</v>
      </c>
      <c r="E39" s="128">
        <f t="shared" si="1"/>
        <v>140</v>
      </c>
      <c r="F39" s="128">
        <f t="shared" si="2"/>
        <v>1.75</v>
      </c>
      <c r="G39" s="128">
        <f t="shared" si="3"/>
        <v>90</v>
      </c>
      <c r="H39" s="128">
        <f t="shared" si="4"/>
        <v>75.149930308387297</v>
      </c>
      <c r="I39" s="128">
        <f t="shared" si="5"/>
        <v>0.1696</v>
      </c>
      <c r="J39" s="128">
        <f t="shared" si="6"/>
        <v>136.5</v>
      </c>
      <c r="K39" s="128">
        <f t="shared" si="7"/>
        <v>1.8163689499092666</v>
      </c>
      <c r="L39" s="128">
        <f t="shared" si="8"/>
        <v>1.8031403051281938</v>
      </c>
      <c r="M39" s="128">
        <f t="shared" si="9"/>
        <v>1.8031382045381208</v>
      </c>
      <c r="N39" s="128">
        <f t="shared" si="10"/>
        <v>1.8031382045380682</v>
      </c>
      <c r="O39" s="128">
        <f t="shared" si="11"/>
        <v>1.8031382045380682</v>
      </c>
      <c r="P39" s="128">
        <f t="shared" si="12"/>
        <v>1.8031382045380682</v>
      </c>
      <c r="Q39" s="128">
        <f t="shared" si="13"/>
        <v>1.8031382045380682</v>
      </c>
      <c r="R39" s="128">
        <f t="shared" si="14"/>
        <v>1.8031382045380682</v>
      </c>
      <c r="S39" s="128">
        <f t="shared" si="15"/>
        <v>1.8031382045380682</v>
      </c>
      <c r="T39" s="134">
        <f t="shared" si="16"/>
        <v>8.8580133136905173E-2</v>
      </c>
      <c r="U39" s="135">
        <f t="shared" si="17"/>
        <v>127.55539171714345</v>
      </c>
    </row>
    <row r="40" spans="1:21" ht="24" customHeight="1">
      <c r="A40" s="64" t="s">
        <v>195</v>
      </c>
      <c r="B40" s="128">
        <f>'Ekstra - Udfyld din profil'!C6</f>
        <v>80</v>
      </c>
      <c r="C40" s="128">
        <f>'Scenario med tid på Alpe d''Huez'!B33</f>
        <v>160</v>
      </c>
      <c r="D40" s="128">
        <f>1</f>
        <v>1</v>
      </c>
      <c r="E40" s="128">
        <f t="shared" si="1"/>
        <v>160</v>
      </c>
      <c r="F40" s="128">
        <f t="shared" si="2"/>
        <v>2</v>
      </c>
      <c r="G40" s="128">
        <f t="shared" si="3"/>
        <v>90</v>
      </c>
      <c r="H40" s="128">
        <f t="shared" si="4"/>
        <v>75.149930308387297</v>
      </c>
      <c r="I40" s="128">
        <f t="shared" si="5"/>
        <v>0.1696</v>
      </c>
      <c r="J40" s="128">
        <f t="shared" si="6"/>
        <v>156</v>
      </c>
      <c r="K40" s="128">
        <f t="shared" si="7"/>
        <v>2.0758502284677331</v>
      </c>
      <c r="L40" s="128">
        <f t="shared" si="8"/>
        <v>2.0562348769626766</v>
      </c>
      <c r="M40" s="128">
        <f t="shared" si="9"/>
        <v>2.0562296363863468</v>
      </c>
      <c r="N40" s="128">
        <f t="shared" si="10"/>
        <v>2.0562296363859751</v>
      </c>
      <c r="O40" s="128">
        <f t="shared" si="11"/>
        <v>2.0562296363859747</v>
      </c>
      <c r="P40" s="128">
        <f t="shared" si="12"/>
        <v>2.0562296363859751</v>
      </c>
      <c r="Q40" s="128">
        <f t="shared" si="13"/>
        <v>2.0562296363859747</v>
      </c>
      <c r="R40" s="128">
        <f t="shared" si="14"/>
        <v>2.0562296363859751</v>
      </c>
      <c r="S40" s="128">
        <f t="shared" si="15"/>
        <v>2.0562296363859747</v>
      </c>
      <c r="T40" s="134">
        <f t="shared" si="16"/>
        <v>7.7677229914334719E-2</v>
      </c>
      <c r="U40" s="135">
        <f t="shared" si="17"/>
        <v>111.85521107664199</v>
      </c>
    </row>
    <row r="41" spans="1:21" ht="24" customHeight="1">
      <c r="A41" s="64" t="s">
        <v>196</v>
      </c>
      <c r="B41" s="128">
        <f>'Ekstra - Udfyld din profil'!C6</f>
        <v>80</v>
      </c>
      <c r="C41" s="128">
        <f>'Scenario med tid på Alpe d''Huez'!B34</f>
        <v>180</v>
      </c>
      <c r="D41" s="128">
        <f>1</f>
        <v>1</v>
      </c>
      <c r="E41" s="128">
        <f t="shared" si="1"/>
        <v>180</v>
      </c>
      <c r="F41" s="128">
        <f t="shared" si="2"/>
        <v>2.25</v>
      </c>
      <c r="G41" s="128">
        <f t="shared" si="3"/>
        <v>90</v>
      </c>
      <c r="H41" s="128">
        <f t="shared" si="4"/>
        <v>75.149930308387297</v>
      </c>
      <c r="I41" s="128">
        <f t="shared" si="5"/>
        <v>0.1696</v>
      </c>
      <c r="J41" s="128">
        <f t="shared" si="6"/>
        <v>175.5</v>
      </c>
      <c r="K41" s="128">
        <f t="shared" si="7"/>
        <v>2.3353315070261997</v>
      </c>
      <c r="L41" s="128">
        <f t="shared" si="8"/>
        <v>2.3076113484092957</v>
      </c>
      <c r="M41" s="128">
        <f t="shared" si="9"/>
        <v>2.3075996680911923</v>
      </c>
      <c r="N41" s="128">
        <f t="shared" si="10"/>
        <v>2.3075996680891349</v>
      </c>
      <c r="O41" s="128">
        <f t="shared" si="11"/>
        <v>2.3075996680891353</v>
      </c>
      <c r="P41" s="128">
        <f t="shared" si="12"/>
        <v>2.3075996680891349</v>
      </c>
      <c r="Q41" s="128">
        <f t="shared" si="13"/>
        <v>2.3075996680891353</v>
      </c>
      <c r="R41" s="128">
        <f t="shared" si="14"/>
        <v>2.3075996680891349</v>
      </c>
      <c r="S41" s="128">
        <f t="shared" si="15"/>
        <v>2.3075996680891353</v>
      </c>
      <c r="T41" s="134">
        <f t="shared" si="16"/>
        <v>6.9215741547789408E-2</v>
      </c>
      <c r="U41" s="135">
        <f t="shared" si="17"/>
        <v>99.670667828816747</v>
      </c>
    </row>
    <row r="42" spans="1:21" ht="24" customHeight="1">
      <c r="A42" s="64" t="s">
        <v>197</v>
      </c>
      <c r="B42" s="128">
        <f>'Ekstra - Udfyld din profil'!C6</f>
        <v>80</v>
      </c>
      <c r="C42" s="128">
        <f>'Scenario med tid på Alpe d''Huez'!B35</f>
        <v>200</v>
      </c>
      <c r="D42" s="128">
        <f>1</f>
        <v>1</v>
      </c>
      <c r="E42" s="128">
        <f t="shared" si="1"/>
        <v>200</v>
      </c>
      <c r="F42" s="128">
        <f t="shared" si="2"/>
        <v>2.5</v>
      </c>
      <c r="G42" s="128">
        <f t="shared" si="3"/>
        <v>90</v>
      </c>
      <c r="H42" s="128">
        <f t="shared" si="4"/>
        <v>75.149930308387297</v>
      </c>
      <c r="I42" s="128">
        <f t="shared" si="5"/>
        <v>0.1696</v>
      </c>
      <c r="J42" s="128">
        <f t="shared" si="6"/>
        <v>195</v>
      </c>
      <c r="K42" s="128">
        <f t="shared" si="7"/>
        <v>2.5948127855846663</v>
      </c>
      <c r="L42" s="128">
        <f t="shared" si="8"/>
        <v>2.5571028636540949</v>
      </c>
      <c r="M42" s="128">
        <f t="shared" si="9"/>
        <v>2.5570790561518599</v>
      </c>
      <c r="N42" s="128">
        <f t="shared" si="10"/>
        <v>2.557079056142463</v>
      </c>
      <c r="O42" s="128">
        <f t="shared" si="11"/>
        <v>2.5570790561424634</v>
      </c>
      <c r="P42" s="128">
        <f t="shared" si="12"/>
        <v>2.557079056142463</v>
      </c>
      <c r="Q42" s="128">
        <f t="shared" si="13"/>
        <v>2.5570790561424634</v>
      </c>
      <c r="R42" s="128">
        <f t="shared" si="14"/>
        <v>2.557079056142463</v>
      </c>
      <c r="S42" s="128">
        <f t="shared" si="15"/>
        <v>2.5570790561424634</v>
      </c>
      <c r="T42" s="134">
        <f t="shared" si="16"/>
        <v>6.2462762673898171E-2</v>
      </c>
      <c r="U42" s="135">
        <f t="shared" si="17"/>
        <v>89.94637825041336</v>
      </c>
    </row>
    <row r="43" spans="1:21" ht="24" customHeight="1">
      <c r="A43" s="64" t="s">
        <v>198</v>
      </c>
      <c r="B43" s="128">
        <f>'Ekstra - Udfyld din profil'!C6</f>
        <v>80</v>
      </c>
      <c r="C43" s="128">
        <f>'Scenario med tid på Alpe d''Huez'!B36</f>
        <v>220</v>
      </c>
      <c r="D43" s="128">
        <f>1</f>
        <v>1</v>
      </c>
      <c r="E43" s="128">
        <f t="shared" si="1"/>
        <v>220</v>
      </c>
      <c r="F43" s="128">
        <f t="shared" si="2"/>
        <v>2.75</v>
      </c>
      <c r="G43" s="128">
        <f t="shared" si="3"/>
        <v>90</v>
      </c>
      <c r="H43" s="128">
        <f t="shared" si="4"/>
        <v>75.149930308387297</v>
      </c>
      <c r="I43" s="128">
        <f t="shared" si="5"/>
        <v>0.1696</v>
      </c>
      <c r="J43" s="128">
        <f t="shared" si="6"/>
        <v>214.5</v>
      </c>
      <c r="K43" s="128">
        <f t="shared" si="7"/>
        <v>2.8542940641431334</v>
      </c>
      <c r="L43" s="128">
        <f t="shared" si="8"/>
        <v>2.8045575293765697</v>
      </c>
      <c r="M43" s="128">
        <f t="shared" si="9"/>
        <v>2.8045124055923552</v>
      </c>
      <c r="N43" s="128">
        <f t="shared" si="10"/>
        <v>2.8045124055556467</v>
      </c>
      <c r="O43" s="128">
        <f t="shared" si="11"/>
        <v>2.8045124055556472</v>
      </c>
      <c r="P43" s="128">
        <f t="shared" si="12"/>
        <v>2.8045124055556472</v>
      </c>
      <c r="Q43" s="128">
        <f t="shared" si="13"/>
        <v>2.8045124055556472</v>
      </c>
      <c r="R43" s="128">
        <f t="shared" si="14"/>
        <v>2.8045124055556472</v>
      </c>
      <c r="S43" s="128">
        <f t="shared" si="15"/>
        <v>2.8045124055556472</v>
      </c>
      <c r="T43" s="134">
        <f t="shared" si="16"/>
        <v>5.6951868676286738E-2</v>
      </c>
      <c r="U43" s="135">
        <f t="shared" si="17"/>
        <v>82.010690893852896</v>
      </c>
    </row>
    <row r="44" spans="1:21" ht="24" customHeight="1">
      <c r="A44" s="64" t="s">
        <v>199</v>
      </c>
      <c r="B44" s="128">
        <f>'Ekstra - Udfyld din profil'!C6</f>
        <v>80</v>
      </c>
      <c r="C44" s="128">
        <f>'Scenario med tid på Alpe d''Huez'!B37</f>
        <v>240</v>
      </c>
      <c r="D44" s="128">
        <f>1</f>
        <v>1</v>
      </c>
      <c r="E44" s="128">
        <f t="shared" si="1"/>
        <v>240</v>
      </c>
      <c r="F44" s="128">
        <f t="shared" si="2"/>
        <v>3</v>
      </c>
      <c r="G44" s="128">
        <f t="shared" si="3"/>
        <v>90</v>
      </c>
      <c r="H44" s="128">
        <f t="shared" si="4"/>
        <v>75.149930308387297</v>
      </c>
      <c r="I44" s="128">
        <f t="shared" si="5"/>
        <v>0.1696</v>
      </c>
      <c r="J44" s="128">
        <f t="shared" si="6"/>
        <v>234</v>
      </c>
      <c r="K44" s="128">
        <f t="shared" si="7"/>
        <v>3.1137753427015999</v>
      </c>
      <c r="L44" s="128">
        <f t="shared" si="8"/>
        <v>3.0498391062228398</v>
      </c>
      <c r="M44" s="128">
        <f t="shared" si="9"/>
        <v>3.0497585880507025</v>
      </c>
      <c r="N44" s="128">
        <f t="shared" si="10"/>
        <v>3.0497585879247646</v>
      </c>
      <c r="O44" s="128">
        <f t="shared" si="11"/>
        <v>3.0497585879247646</v>
      </c>
      <c r="P44" s="128">
        <f t="shared" si="12"/>
        <v>3.0497585879247646</v>
      </c>
      <c r="Q44" s="128">
        <f t="shared" si="13"/>
        <v>3.0497585879247646</v>
      </c>
      <c r="R44" s="128">
        <f t="shared" si="14"/>
        <v>3.0497585879247646</v>
      </c>
      <c r="S44" s="128">
        <f t="shared" si="15"/>
        <v>3.0497585879247646</v>
      </c>
      <c r="T44" s="134">
        <f t="shared" si="16"/>
        <v>5.237208704145551E-2</v>
      </c>
      <c r="U44" s="135">
        <f t="shared" si="17"/>
        <v>75.415805339695936</v>
      </c>
    </row>
    <row r="45" spans="1:21" ht="24" customHeight="1">
      <c r="A45" s="64" t="s">
        <v>200</v>
      </c>
      <c r="B45" s="128">
        <f>'Ekstra - Udfyld din profil'!C6</f>
        <v>80</v>
      </c>
      <c r="C45" s="128">
        <f>'Scenario med tid på Alpe d''Huez'!B38</f>
        <v>260</v>
      </c>
      <c r="D45" s="128">
        <f>1</f>
        <v>1</v>
      </c>
      <c r="E45" s="128">
        <f t="shared" si="1"/>
        <v>260</v>
      </c>
      <c r="F45" s="128">
        <f t="shared" si="2"/>
        <v>3.25</v>
      </c>
      <c r="G45" s="128">
        <f t="shared" si="3"/>
        <v>90</v>
      </c>
      <c r="H45" s="128">
        <f t="shared" si="4"/>
        <v>75.149930308387297</v>
      </c>
      <c r="I45" s="128">
        <f t="shared" si="5"/>
        <v>0.1696</v>
      </c>
      <c r="J45" s="128">
        <f t="shared" si="6"/>
        <v>253.5</v>
      </c>
      <c r="K45" s="128">
        <f t="shared" si="7"/>
        <v>3.3732566212600665</v>
      </c>
      <c r="L45" s="128">
        <f t="shared" si="8"/>
        <v>3.2928274663917283</v>
      </c>
      <c r="M45" s="128">
        <f t="shared" si="9"/>
        <v>3.2926909251816769</v>
      </c>
      <c r="N45" s="128">
        <f t="shared" si="10"/>
        <v>3.2926909247944676</v>
      </c>
      <c r="O45" s="128">
        <f t="shared" si="11"/>
        <v>3.2926909247944676</v>
      </c>
      <c r="P45" s="128">
        <f t="shared" si="12"/>
        <v>3.2926909247944676</v>
      </c>
      <c r="Q45" s="128">
        <f t="shared" si="13"/>
        <v>3.2926909247944676</v>
      </c>
      <c r="R45" s="128">
        <f t="shared" si="14"/>
        <v>3.2926909247944676</v>
      </c>
      <c r="S45" s="128">
        <f t="shared" si="15"/>
        <v>3.2926909247944676</v>
      </c>
      <c r="T45" s="134">
        <f t="shared" si="16"/>
        <v>4.8508112625904057E-2</v>
      </c>
      <c r="U45" s="135">
        <f t="shared" si="17"/>
        <v>69.85168218130184</v>
      </c>
    </row>
    <row r="46" spans="1:21" ht="24" customHeight="1">
      <c r="A46" s="64" t="s">
        <v>201</v>
      </c>
      <c r="B46" s="128">
        <f>'Ekstra - Udfyld din profil'!C6</f>
        <v>80</v>
      </c>
      <c r="C46" s="128">
        <f>'Scenario med tid på Alpe d''Huez'!B39</f>
        <v>280</v>
      </c>
      <c r="D46" s="128">
        <f>1</f>
        <v>1</v>
      </c>
      <c r="E46" s="128">
        <f t="shared" si="1"/>
        <v>280</v>
      </c>
      <c r="F46" s="128">
        <f t="shared" si="2"/>
        <v>3.5</v>
      </c>
      <c r="G46" s="128">
        <f t="shared" si="3"/>
        <v>90</v>
      </c>
      <c r="H46" s="128">
        <f t="shared" si="4"/>
        <v>75.149930308387297</v>
      </c>
      <c r="I46" s="128">
        <f t="shared" si="5"/>
        <v>0.1696</v>
      </c>
      <c r="J46" s="128">
        <f t="shared" si="6"/>
        <v>273</v>
      </c>
      <c r="K46" s="128">
        <f t="shared" si="7"/>
        <v>3.6327378998185331</v>
      </c>
      <c r="L46" s="128">
        <f t="shared" si="8"/>
        <v>3.5334188236789346</v>
      </c>
      <c r="M46" s="128">
        <f t="shared" si="9"/>
        <v>3.5331971569533445</v>
      </c>
      <c r="N46" s="128">
        <f t="shared" si="10"/>
        <v>3.5331971558694959</v>
      </c>
      <c r="O46" s="128">
        <f t="shared" si="11"/>
        <v>3.5331971558694968</v>
      </c>
      <c r="P46" s="128">
        <f t="shared" si="12"/>
        <v>3.5331971558694959</v>
      </c>
      <c r="Q46" s="128">
        <f t="shared" si="13"/>
        <v>3.5331971558694968</v>
      </c>
      <c r="R46" s="128">
        <f t="shared" si="14"/>
        <v>3.5331971558694959</v>
      </c>
      <c r="S46" s="128">
        <f t="shared" si="15"/>
        <v>3.5331971558694968</v>
      </c>
      <c r="T46" s="134">
        <f t="shared" si="16"/>
        <v>4.5206144796331248E-2</v>
      </c>
      <c r="U46" s="135">
        <f t="shared" si="17"/>
        <v>65.096848506716995</v>
      </c>
    </row>
    <row r="47" spans="1:21" ht="24" customHeight="1">
      <c r="A47" s="64" t="s">
        <v>202</v>
      </c>
      <c r="B47" s="128">
        <f>'Ekstra - Udfyld din profil'!C6</f>
        <v>80</v>
      </c>
      <c r="C47" s="128">
        <f>'Scenario med tid på Alpe d''Huez'!B40</f>
        <v>300</v>
      </c>
      <c r="D47" s="128">
        <f>1</f>
        <v>1</v>
      </c>
      <c r="E47" s="128">
        <f t="shared" si="1"/>
        <v>300</v>
      </c>
      <c r="F47" s="128">
        <f t="shared" si="2"/>
        <v>3.75</v>
      </c>
      <c r="G47" s="128">
        <f t="shared" si="3"/>
        <v>90</v>
      </c>
      <c r="H47" s="128">
        <f t="shared" si="4"/>
        <v>75.149930308387297</v>
      </c>
      <c r="I47" s="128">
        <f t="shared" si="5"/>
        <v>0.1696</v>
      </c>
      <c r="J47" s="128">
        <f t="shared" si="6"/>
        <v>292.5</v>
      </c>
      <c r="K47" s="128">
        <f t="shared" si="7"/>
        <v>3.8922191783769997</v>
      </c>
      <c r="L47" s="128">
        <f t="shared" si="8"/>
        <v>3.7715257471310606</v>
      </c>
      <c r="M47" s="128">
        <f t="shared" si="9"/>
        <v>3.7711792186090407</v>
      </c>
      <c r="N47" s="128">
        <f t="shared" si="10"/>
        <v>3.7711792158121495</v>
      </c>
      <c r="O47" s="128">
        <f t="shared" si="11"/>
        <v>3.7711792158121495</v>
      </c>
      <c r="P47" s="128">
        <f t="shared" si="12"/>
        <v>3.7711792158121495</v>
      </c>
      <c r="Q47" s="128">
        <f t="shared" si="13"/>
        <v>3.7711792158121495</v>
      </c>
      <c r="R47" s="128">
        <f t="shared" si="14"/>
        <v>3.7711792158121495</v>
      </c>
      <c r="S47" s="128">
        <f t="shared" si="15"/>
        <v>3.7711792158121495</v>
      </c>
      <c r="T47" s="134">
        <f t="shared" si="16"/>
        <v>4.2353389505469297E-2</v>
      </c>
      <c r="U47" s="135">
        <f t="shared" si="17"/>
        <v>60.988880887875787</v>
      </c>
    </row>
    <row r="48" spans="1:21" ht="24" customHeight="1">
      <c r="A48" s="64" t="s">
        <v>203</v>
      </c>
      <c r="B48" s="128">
        <f>'Ekstra - Udfyld din profil'!C6</f>
        <v>80</v>
      </c>
      <c r="C48" s="128">
        <f>'Scenario med tid på Alpe d''Huez'!B41</f>
        <v>320</v>
      </c>
      <c r="D48" s="128">
        <f>1</f>
        <v>1</v>
      </c>
      <c r="E48" s="128">
        <f t="shared" si="1"/>
        <v>320</v>
      </c>
      <c r="F48" s="128">
        <f t="shared" si="2"/>
        <v>4</v>
      </c>
      <c r="G48" s="128">
        <f t="shared" si="3"/>
        <v>90</v>
      </c>
      <c r="H48" s="128">
        <f t="shared" si="4"/>
        <v>75.149930308387297</v>
      </c>
      <c r="I48" s="128">
        <f t="shared" si="5"/>
        <v>0.1696</v>
      </c>
      <c r="J48" s="128">
        <f t="shared" si="6"/>
        <v>312</v>
      </c>
      <c r="K48" s="128">
        <f t="shared" si="7"/>
        <v>4.1517004569354663</v>
      </c>
      <c r="L48" s="128">
        <f t="shared" si="8"/>
        <v>4.007076973534005</v>
      </c>
      <c r="M48" s="128">
        <f t="shared" si="9"/>
        <v>4.0065528527064993</v>
      </c>
      <c r="N48" s="128">
        <f t="shared" si="10"/>
        <v>4.006552845984741</v>
      </c>
      <c r="O48" s="128">
        <f t="shared" si="11"/>
        <v>4.006552845984741</v>
      </c>
      <c r="P48" s="128">
        <f t="shared" si="12"/>
        <v>4.006552845984741</v>
      </c>
      <c r="Q48" s="128">
        <f t="shared" si="13"/>
        <v>4.006552845984741</v>
      </c>
      <c r="R48" s="128">
        <f t="shared" si="14"/>
        <v>4.006552845984741</v>
      </c>
      <c r="S48" s="128">
        <f t="shared" si="15"/>
        <v>4.006552845984741</v>
      </c>
      <c r="T48" s="134">
        <f t="shared" si="16"/>
        <v>3.9865247848232303E-2</v>
      </c>
      <c r="U48" s="135">
        <f t="shared" si="17"/>
        <v>57.405956901454516</v>
      </c>
    </row>
    <row r="49" spans="1:21" ht="24" customHeight="1">
      <c r="A49" s="64" t="s">
        <v>204</v>
      </c>
      <c r="B49" s="128">
        <f>'Ekstra - Udfyld din profil'!C6</f>
        <v>80</v>
      </c>
      <c r="C49" s="128">
        <f>'Scenario med tid på Alpe d''Huez'!B42</f>
        <v>340</v>
      </c>
      <c r="D49" s="128">
        <f>1</f>
        <v>1</v>
      </c>
      <c r="E49" s="128">
        <f t="shared" si="1"/>
        <v>340</v>
      </c>
      <c r="F49" s="128">
        <f t="shared" si="2"/>
        <v>4.25</v>
      </c>
      <c r="G49" s="128">
        <f t="shared" si="3"/>
        <v>90</v>
      </c>
      <c r="H49" s="128">
        <f t="shared" si="4"/>
        <v>75.149930308387297</v>
      </c>
      <c r="I49" s="128">
        <f t="shared" si="5"/>
        <v>0.1696</v>
      </c>
      <c r="J49" s="128">
        <f t="shared" si="6"/>
        <v>331.5</v>
      </c>
      <c r="K49" s="128">
        <f t="shared" si="7"/>
        <v>4.4111817354939333</v>
      </c>
      <c r="L49" s="128">
        <f t="shared" si="8"/>
        <v>4.2400170372222235</v>
      </c>
      <c r="M49" s="128">
        <f t="shared" si="9"/>
        <v>4.239247083854786</v>
      </c>
      <c r="N49" s="128">
        <f t="shared" si="10"/>
        <v>4.2392470686835066</v>
      </c>
      <c r="O49" s="128">
        <f t="shared" si="11"/>
        <v>4.2392470686835058</v>
      </c>
      <c r="P49" s="128">
        <f t="shared" si="12"/>
        <v>4.2392470686835066</v>
      </c>
      <c r="Q49" s="128">
        <f t="shared" si="13"/>
        <v>4.2392470686835058</v>
      </c>
      <c r="R49" s="128">
        <f t="shared" si="14"/>
        <v>4.2392470686835066</v>
      </c>
      <c r="S49" s="128">
        <f t="shared" si="15"/>
        <v>4.2392470686835058</v>
      </c>
      <c r="T49" s="134">
        <f t="shared" si="16"/>
        <v>3.7677026046001087E-2</v>
      </c>
      <c r="U49" s="135">
        <f t="shared" si="17"/>
        <v>54.254917506241569</v>
      </c>
    </row>
    <row r="50" spans="1:21" ht="24" customHeight="1">
      <c r="A50" s="64" t="s">
        <v>205</v>
      </c>
      <c r="B50" s="128">
        <f>'Ekstra - Udfyld din profil'!C6</f>
        <v>80</v>
      </c>
      <c r="C50" s="128">
        <f>'Scenario med tid på Alpe d''Huez'!B43</f>
        <v>360</v>
      </c>
      <c r="D50" s="128">
        <f>1</f>
        <v>1</v>
      </c>
      <c r="E50" s="128">
        <f t="shared" si="1"/>
        <v>360</v>
      </c>
      <c r="F50" s="128">
        <f t="shared" si="2"/>
        <v>4.5</v>
      </c>
      <c r="G50" s="128">
        <f t="shared" si="3"/>
        <v>90</v>
      </c>
      <c r="H50" s="128">
        <f t="shared" si="4"/>
        <v>75.149930308387297</v>
      </c>
      <c r="I50" s="128">
        <f t="shared" si="5"/>
        <v>0.1696</v>
      </c>
      <c r="J50" s="128">
        <f t="shared" si="6"/>
        <v>351</v>
      </c>
      <c r="K50" s="128">
        <f t="shared" si="7"/>
        <v>4.6706630140523995</v>
      </c>
      <c r="L50" s="128">
        <f t="shared" si="8"/>
        <v>4.4703057381139608</v>
      </c>
      <c r="M50" s="128">
        <f t="shared" si="9"/>
        <v>4.4692035837351947</v>
      </c>
      <c r="N50" s="128">
        <f t="shared" si="10"/>
        <v>4.4692035513519492</v>
      </c>
      <c r="O50" s="128">
        <f t="shared" si="11"/>
        <v>4.4692035513519492</v>
      </c>
      <c r="P50" s="128">
        <f t="shared" si="12"/>
        <v>4.4692035513519492</v>
      </c>
      <c r="Q50" s="128">
        <f t="shared" si="13"/>
        <v>4.4692035513519492</v>
      </c>
      <c r="R50" s="128">
        <f t="shared" si="14"/>
        <v>4.4692035513519492</v>
      </c>
      <c r="S50" s="128">
        <f t="shared" si="15"/>
        <v>4.4692035513519492</v>
      </c>
      <c r="T50" s="134">
        <f t="shared" si="16"/>
        <v>3.5738408507687169E-2</v>
      </c>
      <c r="U50" s="135">
        <f t="shared" si="17"/>
        <v>51.46330825106952</v>
      </c>
    </row>
    <row r="51" spans="1:21" ht="24" customHeight="1">
      <c r="A51" s="64" t="s">
        <v>206</v>
      </c>
      <c r="B51" s="128">
        <f>'Ekstra - Udfyld din profil'!C6</f>
        <v>80</v>
      </c>
      <c r="C51" s="128">
        <f>'Scenario med tid på Alpe d''Huez'!B44</f>
        <v>380</v>
      </c>
      <c r="D51" s="128">
        <f>1</f>
        <v>1</v>
      </c>
      <c r="E51" s="128">
        <f t="shared" si="1"/>
        <v>380</v>
      </c>
      <c r="F51" s="128">
        <f t="shared" si="2"/>
        <v>4.75</v>
      </c>
      <c r="G51" s="128">
        <f t="shared" si="3"/>
        <v>90</v>
      </c>
      <c r="H51" s="128">
        <f t="shared" si="4"/>
        <v>75.149930308387297</v>
      </c>
      <c r="I51" s="128">
        <f t="shared" si="5"/>
        <v>0.1696</v>
      </c>
      <c r="J51" s="128">
        <f t="shared" si="6"/>
        <v>370.5</v>
      </c>
      <c r="K51" s="128">
        <f t="shared" si="7"/>
        <v>4.9301442926108665</v>
      </c>
      <c r="L51" s="128">
        <f t="shared" si="8"/>
        <v>4.6979174704597568</v>
      </c>
      <c r="M51" s="128">
        <f t="shared" si="9"/>
        <v>4.6963759529414633</v>
      </c>
      <c r="N51" s="128">
        <f t="shared" si="10"/>
        <v>4.6963758871864387</v>
      </c>
      <c r="O51" s="128">
        <f t="shared" si="11"/>
        <v>4.6963758871864378</v>
      </c>
      <c r="P51" s="128">
        <f t="shared" si="12"/>
        <v>4.6963758871864378</v>
      </c>
      <c r="Q51" s="128">
        <f t="shared" si="13"/>
        <v>4.6963758871864378</v>
      </c>
      <c r="R51" s="128">
        <f t="shared" si="14"/>
        <v>4.6963758871864378</v>
      </c>
      <c r="S51" s="128">
        <f t="shared" si="15"/>
        <v>4.6963758871864378</v>
      </c>
      <c r="T51" s="134">
        <f t="shared" si="16"/>
        <v>3.4009675983987422E-2</v>
      </c>
      <c r="U51" s="135">
        <f t="shared" si="17"/>
        <v>48.97393341694189</v>
      </c>
    </row>
    <row r="52" spans="1:21" ht="24" customHeight="1">
      <c r="A52" s="64" t="s">
        <v>207</v>
      </c>
      <c r="B52" s="128">
        <f>'Ekstra - Udfyld din profil'!C6</f>
        <v>80</v>
      </c>
      <c r="C52" s="128">
        <f>'Scenario med tid på Alpe d''Huez'!B45</f>
        <v>400</v>
      </c>
      <c r="D52" s="128">
        <f>1</f>
        <v>1</v>
      </c>
      <c r="E52" s="128">
        <f t="shared" si="1"/>
        <v>400</v>
      </c>
      <c r="F52" s="128">
        <f t="shared" si="2"/>
        <v>5</v>
      </c>
      <c r="G52" s="128">
        <f t="shared" si="3"/>
        <v>90</v>
      </c>
      <c r="H52" s="128">
        <f t="shared" si="4"/>
        <v>75.149930308387297</v>
      </c>
      <c r="I52" s="128">
        <f t="shared" si="5"/>
        <v>0.1696</v>
      </c>
      <c r="J52" s="128">
        <f t="shared" si="6"/>
        <v>390</v>
      </c>
      <c r="K52" s="128">
        <f t="shared" si="7"/>
        <v>5.1896255711693327</v>
      </c>
      <c r="L52" s="128">
        <f t="shared" si="8"/>
        <v>4.9228404355793725</v>
      </c>
      <c r="M52" s="128">
        <f t="shared" si="9"/>
        <v>4.9207289443482436</v>
      </c>
      <c r="N52" s="128">
        <f t="shared" si="10"/>
        <v>4.9207288166981282</v>
      </c>
      <c r="O52" s="128">
        <f t="shared" si="11"/>
        <v>4.9207288166981273</v>
      </c>
      <c r="P52" s="128">
        <f t="shared" si="12"/>
        <v>4.9207288166981273</v>
      </c>
      <c r="Q52" s="128">
        <f t="shared" si="13"/>
        <v>4.9207288166981273</v>
      </c>
      <c r="R52" s="128">
        <f t="shared" si="14"/>
        <v>4.9207288166981273</v>
      </c>
      <c r="S52" s="128">
        <f t="shared" si="15"/>
        <v>4.9207288166981273</v>
      </c>
      <c r="T52" s="134">
        <f t="shared" si="16"/>
        <v>3.2459058032260735E-2</v>
      </c>
      <c r="U52" s="135">
        <f t="shared" si="17"/>
        <v>46.74104356645546</v>
      </c>
    </row>
    <row r="53" spans="1:21" ht="24" customHeight="1">
      <c r="A53" s="64" t="s">
        <v>208</v>
      </c>
      <c r="B53" s="128">
        <f>'Ekstra - Udfyld din profil'!C6</f>
        <v>80</v>
      </c>
      <c r="C53" s="128">
        <f>'Scenario med tid på Alpe d''Huez'!B46</f>
        <v>420</v>
      </c>
      <c r="D53" s="128">
        <f>1</f>
        <v>1</v>
      </c>
      <c r="E53" s="128">
        <f t="shared" si="1"/>
        <v>420</v>
      </c>
      <c r="F53" s="128">
        <f t="shared" si="2"/>
        <v>5.25</v>
      </c>
      <c r="G53" s="128">
        <f t="shared" si="3"/>
        <v>90</v>
      </c>
      <c r="H53" s="128">
        <f t="shared" si="4"/>
        <v>75.149930308387297</v>
      </c>
      <c r="I53" s="128">
        <f t="shared" si="5"/>
        <v>0.1696</v>
      </c>
      <c r="J53" s="128">
        <f t="shared" si="6"/>
        <v>409.5</v>
      </c>
      <c r="K53" s="128">
        <f t="shared" si="7"/>
        <v>5.4491068497277997</v>
      </c>
      <c r="L53" s="128">
        <f t="shared" si="8"/>
        <v>5.1450757619251988</v>
      </c>
      <c r="M53" s="128">
        <f t="shared" si="9"/>
        <v>5.1422376503486884</v>
      </c>
      <c r="N53" s="128">
        <f t="shared" si="10"/>
        <v>5.1422374124100552</v>
      </c>
      <c r="O53" s="128">
        <f t="shared" si="11"/>
        <v>5.1422374124100534</v>
      </c>
      <c r="P53" s="128">
        <f t="shared" si="12"/>
        <v>5.1422374124100525</v>
      </c>
      <c r="Q53" s="128">
        <f t="shared" si="13"/>
        <v>5.1422374124100525</v>
      </c>
      <c r="R53" s="128">
        <f t="shared" si="14"/>
        <v>5.1422374124100525</v>
      </c>
      <c r="S53" s="128">
        <f t="shared" si="15"/>
        <v>5.1422374124100525</v>
      </c>
      <c r="T53" s="134">
        <f t="shared" si="16"/>
        <v>3.1060841694464662E-2</v>
      </c>
      <c r="U53" s="135">
        <f t="shared" si="17"/>
        <v>44.727612040029115</v>
      </c>
    </row>
    <row r="54" spans="1:21" ht="24" customHeight="1">
      <c r="A54" s="64" t="s">
        <v>209</v>
      </c>
      <c r="B54" s="128">
        <f>'Ekstra - Udfyld din profil'!C6</f>
        <v>80</v>
      </c>
      <c r="C54" s="128">
        <f>'Scenario med tid på Alpe d''Huez'!B47</f>
        <v>440</v>
      </c>
      <c r="D54" s="128">
        <f>1</f>
        <v>1</v>
      </c>
      <c r="E54" s="128">
        <f t="shared" si="1"/>
        <v>440</v>
      </c>
      <c r="F54" s="128">
        <f t="shared" si="2"/>
        <v>5.5</v>
      </c>
      <c r="G54" s="128">
        <f t="shared" si="3"/>
        <v>90</v>
      </c>
      <c r="H54" s="128">
        <f t="shared" si="4"/>
        <v>75.149930308387297</v>
      </c>
      <c r="I54" s="128">
        <f t="shared" si="5"/>
        <v>0.1696</v>
      </c>
      <c r="J54" s="128">
        <f t="shared" si="6"/>
        <v>429</v>
      </c>
      <c r="K54" s="128">
        <f t="shared" si="7"/>
        <v>5.7085881282862667</v>
      </c>
      <c r="L54" s="128">
        <f t="shared" si="8"/>
        <v>5.364636555238218</v>
      </c>
      <c r="M54" s="128">
        <f t="shared" si="9"/>
        <v>5.3608866736049157</v>
      </c>
      <c r="N54" s="128">
        <f t="shared" si="10"/>
        <v>5.3608862461615816</v>
      </c>
      <c r="O54" s="128">
        <f t="shared" si="11"/>
        <v>5.3608862461615763</v>
      </c>
      <c r="P54" s="128">
        <f t="shared" si="12"/>
        <v>5.3608862461615763</v>
      </c>
      <c r="Q54" s="128">
        <f t="shared" si="13"/>
        <v>5.3608862461615763</v>
      </c>
      <c r="R54" s="128">
        <f t="shared" si="14"/>
        <v>5.3608862461615763</v>
      </c>
      <c r="S54" s="128">
        <f t="shared" si="15"/>
        <v>5.3608862461615763</v>
      </c>
      <c r="T54" s="134">
        <f t="shared" si="16"/>
        <v>2.9793995785040991E-2</v>
      </c>
      <c r="U54" s="135">
        <f t="shared" si="17"/>
        <v>42.903353930459026</v>
      </c>
    </row>
    <row r="55" spans="1:21" ht="24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</row>
    <row r="56" spans="1:21" ht="24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</row>
    <row r="57" spans="1:21" ht="24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</row>
    <row r="58" spans="1:21" ht="24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</row>
    <row r="59" spans="1:21" ht="24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</row>
    <row r="60" spans="1:21" ht="24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</row>
    <row r="61" spans="1:21" ht="24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</row>
    <row r="62" spans="1:21" ht="24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21" ht="24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</row>
    <row r="64" spans="1:21" ht="24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</row>
    <row r="65" spans="1:21" ht="24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</row>
    <row r="66" spans="1:21" ht="24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</row>
    <row r="67" spans="1:21" ht="24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</row>
    <row r="68" spans="1:21" ht="24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</row>
    <row r="69" spans="1:21" ht="24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</row>
    <row r="70" spans="1:21" ht="24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</row>
    <row r="71" spans="1:21" ht="24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</row>
    <row r="72" spans="1:21" ht="24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</row>
    <row r="73" spans="1:21" ht="24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</row>
    <row r="74" spans="1:21" ht="24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</row>
    <row r="75" spans="1:21" ht="24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21" ht="24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</row>
    <row r="77" spans="1:21" ht="24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</row>
    <row r="78" spans="1:21" ht="24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</row>
    <row r="79" spans="1:21" ht="24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</row>
    <row r="80" spans="1:21" ht="24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</row>
    <row r="81" spans="1:21" ht="24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</row>
    <row r="82" spans="1:21" ht="24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</row>
    <row r="83" spans="1:21" ht="24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21" ht="24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</row>
    <row r="85" spans="1:21" ht="24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 ht="24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</row>
    <row r="87" spans="1:21" ht="24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</row>
    <row r="88" spans="1:21" ht="24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21" ht="24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21" ht="24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</row>
    <row r="91" spans="1:21" ht="24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</row>
    <row r="92" spans="1:21" ht="24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 ht="24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1" ht="24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</row>
    <row r="95" spans="1:21" ht="24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</row>
    <row r="96" spans="1:21" ht="24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 ht="24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</row>
    <row r="98" spans="1:21" ht="24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</row>
    <row r="99" spans="1:21" ht="24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</sheetData>
  <sheetProtection sheet="1" objects="1" scenarios="1"/>
  <dataValidations disablePrompts="1" count="6">
    <dataValidation type="decimal" sqref="B9" xr:uid="{15C12CCB-15EB-FE4D-804B-7943A325EB0D}">
      <formula1>0.8</formula1>
      <formula2>1</formula2>
    </dataValidation>
    <dataValidation type="decimal" sqref="B8" xr:uid="{3A6FB6F5-CDAA-FA45-BE77-1BFF9EC37D39}">
      <formula1>0.5</formula1>
      <formula2>1.5</formula2>
    </dataValidation>
    <dataValidation type="decimal" sqref="B7" xr:uid="{C29E68E8-D4CB-544C-8062-B12815CBF128}">
      <formula1>0.1</formula1>
      <formula2>1</formula2>
    </dataValidation>
    <dataValidation type="decimal" sqref="B6" xr:uid="{729B2CE2-DECB-184A-9F95-A11310BF7498}">
      <formula1>0</formula1>
      <formula2>0.03</formula2>
    </dataValidation>
    <dataValidation type="decimal" sqref="B4" xr:uid="{EE4F5EBC-EAE7-7E4D-90DE-C2CADFCEB3FD}">
      <formula1>100</formula1>
      <formula2>2500</formula2>
    </dataValidation>
    <dataValidation type="decimal" sqref="B3" xr:uid="{1AAD9F25-832B-C34A-BC7E-42C82AD7726B}">
      <formula1>5</formula1>
      <formula2>30</formula2>
    </dataValidation>
  </dataValidation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08"/>
  <sheetViews>
    <sheetView showGridLines="0" showRowColHeaders="0" zoomScaleNormal="100" workbookViewId="0">
      <pane ySplit="11" topLeftCell="A12" activePane="bottomLeft" state="frozen"/>
      <selection pane="bottomLeft" activeCell="B2" sqref="B2"/>
    </sheetView>
  </sheetViews>
  <sheetFormatPr defaultColWidth="8.83203125" defaultRowHeight="14"/>
  <cols>
    <col min="1" max="1" width="17.6640625" customWidth="1"/>
    <col min="2" max="2" width="15" customWidth="1"/>
    <col min="3" max="42" width="13" customWidth="1"/>
  </cols>
  <sheetData>
    <row r="1" spans="1:42" ht="30">
      <c r="A1" s="33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s="5" customFormat="1" ht="23" customHeight="1">
      <c r="A2" s="4" t="s">
        <v>34</v>
      </c>
      <c r="B2" s="53">
        <f>MAX(W12:W51)</f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s="5" customFormat="1" ht="2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5" customFormat="1" ht="34" customHeight="1">
      <c r="A4" s="36" t="s">
        <v>2</v>
      </c>
      <c r="B4" s="49" t="s">
        <v>35</v>
      </c>
      <c r="C4" s="49" t="s">
        <v>36</v>
      </c>
      <c r="D4" s="49" t="s">
        <v>232</v>
      </c>
      <c r="E4" s="49" t="s">
        <v>233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s="5" customFormat="1" ht="23" customHeight="1">
      <c r="A5" s="37" t="s">
        <v>37</v>
      </c>
      <c r="B5" s="50">
        <v>46272</v>
      </c>
      <c r="C5" s="50">
        <v>46387</v>
      </c>
      <c r="D5" s="144">
        <v>3</v>
      </c>
      <c r="E5" s="145">
        <v>5</v>
      </c>
      <c r="F5" s="150" t="s">
        <v>234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5" customFormat="1" ht="23" customHeight="1">
      <c r="A6" s="38" t="s">
        <v>38</v>
      </c>
      <c r="B6" s="51">
        <v>46388</v>
      </c>
      <c r="C6" s="51">
        <v>46477</v>
      </c>
      <c r="D6" s="146">
        <v>5</v>
      </c>
      <c r="E6" s="147">
        <v>7</v>
      </c>
      <c r="F6" s="150" t="s">
        <v>235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s="5" customFormat="1" ht="23" customHeight="1">
      <c r="A7" s="39" t="s">
        <v>39</v>
      </c>
      <c r="B7" s="52">
        <v>46478</v>
      </c>
      <c r="C7" s="52">
        <v>46546</v>
      </c>
      <c r="D7" s="148">
        <v>7</v>
      </c>
      <c r="E7" s="149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s="5" customFormat="1" ht="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5" customFormat="1" ht="6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s="5" customFormat="1" ht="6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34" customHeight="1">
      <c r="A11" s="36" t="s">
        <v>40</v>
      </c>
      <c r="B11" s="40" t="s">
        <v>41</v>
      </c>
      <c r="C11" s="40" t="s">
        <v>42</v>
      </c>
      <c r="D11" s="40" t="s">
        <v>43</v>
      </c>
      <c r="E11" s="40" t="s">
        <v>44</v>
      </c>
      <c r="F11" s="40" t="s">
        <v>45</v>
      </c>
      <c r="G11" s="40" t="s">
        <v>46</v>
      </c>
      <c r="H11" s="40" t="s">
        <v>47</v>
      </c>
      <c r="I11" s="40" t="s">
        <v>48</v>
      </c>
      <c r="J11" s="40" t="s">
        <v>49</v>
      </c>
      <c r="K11" s="40" t="s">
        <v>50</v>
      </c>
      <c r="L11" s="40" t="s">
        <v>51</v>
      </c>
      <c r="M11" s="40" t="s">
        <v>52</v>
      </c>
      <c r="N11" s="40" t="s">
        <v>53</v>
      </c>
      <c r="O11" s="40" t="s">
        <v>54</v>
      </c>
      <c r="P11" s="40" t="s">
        <v>55</v>
      </c>
      <c r="Q11" s="40" t="s">
        <v>19</v>
      </c>
      <c r="R11" s="40" t="s">
        <v>20</v>
      </c>
      <c r="S11" s="40" t="s">
        <v>56</v>
      </c>
      <c r="T11" s="40" t="s">
        <v>57</v>
      </c>
      <c r="U11" s="40" t="s">
        <v>58</v>
      </c>
      <c r="V11" s="40" t="s">
        <v>59</v>
      </c>
      <c r="W11" s="40" t="s">
        <v>60</v>
      </c>
      <c r="X11" s="40" t="s">
        <v>40</v>
      </c>
      <c r="Y11" s="40" t="s">
        <v>61</v>
      </c>
      <c r="Z11" s="40" t="s">
        <v>62</v>
      </c>
      <c r="AA11" s="40" t="s">
        <v>63</v>
      </c>
      <c r="AB11" s="40" t="s">
        <v>40</v>
      </c>
      <c r="AC11" s="40" t="s">
        <v>61</v>
      </c>
      <c r="AD11" s="40" t="s">
        <v>62</v>
      </c>
      <c r="AE11" s="40" t="s">
        <v>63</v>
      </c>
      <c r="AF11" s="40" t="s">
        <v>40</v>
      </c>
      <c r="AG11" s="40" t="s">
        <v>61</v>
      </c>
      <c r="AH11" s="40" t="s">
        <v>62</v>
      </c>
      <c r="AI11" s="40" t="s">
        <v>63</v>
      </c>
      <c r="AJ11" s="41" t="s">
        <v>64</v>
      </c>
      <c r="AK11" s="41" t="s">
        <v>18</v>
      </c>
      <c r="AL11" s="41" t="s">
        <v>17</v>
      </c>
      <c r="AM11" s="41" t="s">
        <v>19</v>
      </c>
      <c r="AN11" s="41" t="s">
        <v>20</v>
      </c>
      <c r="AO11" s="41" t="s">
        <v>21</v>
      </c>
      <c r="AP11" s="41" t="s">
        <v>13</v>
      </c>
    </row>
    <row r="12" spans="1:42" s="5" customFormat="1" ht="23" customHeight="1">
      <c r="A12" s="6" t="str">
        <f>TEXT(Ugeindtastning!A15,"dd/mm")</f>
        <v>07/09</v>
      </c>
      <c r="B12" s="143">
        <f>Ugeindtastning!B15</f>
        <v>46278</v>
      </c>
      <c r="C12" s="142">
        <f>B12-Ugeindtastning!A15+1</f>
        <v>7</v>
      </c>
      <c r="D12" s="142">
        <f>MAX(0,MIN(B12,$C$5)-MAX(Ugeindtastning!A15,$B$5)+1)</f>
        <v>7</v>
      </c>
      <c r="E12" s="142">
        <f>MAX(0,MIN(B12,$C$6)-MAX(Ugeindtastning!A15,$B$6)+1)</f>
        <v>0</v>
      </c>
      <c r="F12" s="142">
        <f>MAX(0,MIN(B12,$C$7)-MAX(Ugeindtastning!A15,$B$7)+1)</f>
        <v>0</v>
      </c>
      <c r="G12" s="142">
        <f t="shared" ref="G12:G51" si="0">(D12*$D$5+E12*$D$6+F12*$D$7)/7</f>
        <v>3</v>
      </c>
      <c r="H12" s="142">
        <f t="shared" ref="H12:H51" si="1">(D12*$E$5+E12*$E$6+F12*$E$7)/7</f>
        <v>5</v>
      </c>
      <c r="I12" s="142" t="str">
        <f>IF(NOT(ISNUMBER(Ugeindtastning!D15)),"",Ugeindtastning!D15)</f>
        <v/>
      </c>
      <c r="J12" s="142">
        <f>SUM(G$12:G12)</f>
        <v>3</v>
      </c>
      <c r="K12" s="142">
        <f>SUM(H$12:H12)</f>
        <v>5</v>
      </c>
      <c r="L12" s="57" t="e">
        <f>IF(OR(B12&gt;$B$2,COUNT(I$12:I12)&lt;ROWS(I$12:I12)),NA(),SUM(I$12:I12))</f>
        <v>#N/A</v>
      </c>
      <c r="M12" s="4" t="e">
        <f>IF(NOT(ISNUMBER(Ugeindtastning!E15)),NA(),Ugeindtastning!E15)</f>
        <v>#N/A</v>
      </c>
      <c r="N12" s="4" t="e">
        <f>IF(NOT(ISNUMBER(Ugeindtastning!F15)),NA(),Ugeindtastning!F15)</f>
        <v>#N/A</v>
      </c>
      <c r="O12" s="4" t="str">
        <f>IF(Ugeindtastning!H15&lt;&gt;"",Ugeindtastning!H15,"")</f>
        <v/>
      </c>
      <c r="P12" s="4" t="str">
        <f>IF(Ugeindtastning!G15&lt;&gt;"",Ugeindtastning!G15,"")</f>
        <v/>
      </c>
      <c r="Q12" s="4" t="str">
        <f t="shared" ref="Q12:Q51" si="2">IF(OR(O12="",P12="",P12&lt;=0),"",O12/P12)</f>
        <v/>
      </c>
      <c r="R12" s="4" t="str">
        <f>IF(OR(NOT(ISNUMBER(Ugeindtastning!I15)),P12="",P12&lt;=0),"",Ugeindtastning!I15/P12)</f>
        <v/>
      </c>
      <c r="S12" s="4" t="str">
        <f>IF(OR(Ugeindtastning!J15="",Ugeindtastning!$B$6="",Ugeindtastning!$B$6&lt;=0),"",Ugeindtastning!J15/Ugeindtastning!$B$6)</f>
        <v/>
      </c>
      <c r="T12" s="4" t="str">
        <f t="shared" ref="T12:T51" si="3">IF(S12="","",IF(S12&gt;1,"Tjek maks. puls",IF(S12&lt;0.5,"Under Z1",IF(S12&lt;0.6,"Z1",IF(S12&lt;0.7,"Z2",IF(S12&lt;0.8,"Z3",IF(S12&lt;0.9,"Z4","Z5")))))))</f>
        <v/>
      </c>
      <c r="U12" s="4">
        <f t="shared" ref="U12:U51" si="4">IF(AND(B12&lt;=$B$2,NOT(ISNUMBER(I12))),1,0)</f>
        <v>0</v>
      </c>
      <c r="V12" s="4" t="str">
        <f t="shared" ref="V12:V51" si="5">IF(NOT(ISNUMBER(I12)),"Ikke registreret",IF(I12&lt;G12,"Under interval",IF(I12&gt;H12,"Over interval","Inden for interval")))</f>
        <v>Ikke registreret</v>
      </c>
      <c r="W12" s="4">
        <f t="shared" ref="W12:W51" si="6">IF(NOT(ISNUMBER(I12)),0,B12)</f>
        <v>0</v>
      </c>
      <c r="X12" s="4" t="str">
        <f t="shared" ref="X12:X28" si="7">A12</f>
        <v>07/09</v>
      </c>
      <c r="Y12" s="4">
        <f>SUM(D$12:D12)*$D$5/7</f>
        <v>3</v>
      </c>
      <c r="Z12" s="4">
        <f>SUM(D$12:D12)*$E$5/7</f>
        <v>5</v>
      </c>
      <c r="AA12" s="4" t="e">
        <f>IF(OR(B12&gt;$B$2,SUMPRODUCT(D$12:D12,U$12:U12)&gt;0),NA(),SUMPRODUCT(D$12:D12,AJ$12:AJ12))</f>
        <v>#N/A</v>
      </c>
      <c r="AB12" s="4" t="str">
        <f t="shared" ref="AB12:AB25" si="8">A28</f>
        <v>28/12</v>
      </c>
      <c r="AC12" s="4">
        <f>SUM(E$12:E28)*$D$6/7</f>
        <v>2.1428571428571428</v>
      </c>
      <c r="AD12" s="4">
        <f>SUM(E$12:E28)*$E$6/7</f>
        <v>3</v>
      </c>
      <c r="AE12" s="4" t="e">
        <f>IF(OR(B28&gt;$B$2,SUMPRODUCT(E$12:E28,U$12:U28)&gt;0),NA(),SUMPRODUCT(E$12:E28,AJ$12:AJ28))</f>
        <v>#N/A</v>
      </c>
      <c r="AF12" s="4" t="str">
        <f t="shared" ref="AF12:AF22" si="9">A41</f>
        <v>29/03</v>
      </c>
      <c r="AG12" s="4">
        <f>SUM(F$12:F41)*$D$7/7</f>
        <v>4</v>
      </c>
      <c r="AH12" s="4">
        <f>SUM(F$12:F41)*$E$7/7</f>
        <v>5.1428571428571432</v>
      </c>
      <c r="AI12" s="4" t="e">
        <f>IF(OR(B41&gt;$B$2,SUMPRODUCT(F$12:F41,U$12:U41)&gt;0),NA(),SUMPRODUCT(F$12:F41,AJ$12:AJ41))</f>
        <v>#N/A</v>
      </c>
      <c r="AJ12" s="4">
        <f t="shared" ref="AJ12:AJ51" si="10">IF(NOT(ISNUMBER(I12)),0,I12/C12)</f>
        <v>0</v>
      </c>
      <c r="AK12" s="4" t="e">
        <f>IF(NOT(ISNUMBER(Ugeindtastning!I15)),NA(),Ugeindtastning!I15)</f>
        <v>#N/A</v>
      </c>
      <c r="AL12" s="4" t="e">
        <f t="shared" ref="AL12:AL51" si="11">IF(OR(B12&gt;$B$2,P12=""),NA(),P12)</f>
        <v>#N/A</v>
      </c>
      <c r="AM12" s="4" t="e">
        <f t="shared" ref="AM12:AM51" si="12">IF(OR(B12&gt;$B$2,Q12=""),NA(),Q12)</f>
        <v>#N/A</v>
      </c>
      <c r="AN12" s="4" t="e">
        <f t="shared" ref="AN12:AN51" si="13">IF(OR(B12&gt;$B$2,R12=""),NA(),R12)</f>
        <v>#N/A</v>
      </c>
      <c r="AO12" s="4" t="e">
        <f t="shared" ref="AO12:AO51" si="14">IF(OR(B12&gt;$B$2,S12=""),NA(),S12)</f>
        <v>#N/A</v>
      </c>
      <c r="AP12" s="4" t="e">
        <f t="shared" ref="AP12:AP51" si="15">IF(NOT(ISNUMBER(I12)),NA(),I12)</f>
        <v>#N/A</v>
      </c>
    </row>
    <row r="13" spans="1:42" s="5" customFormat="1" ht="23" customHeight="1">
      <c r="A13" s="6" t="str">
        <f>TEXT(Ugeindtastning!A16,"dd/mm")</f>
        <v>14/09</v>
      </c>
      <c r="B13" s="143">
        <f>Ugeindtastning!B16</f>
        <v>46285</v>
      </c>
      <c r="C13" s="142">
        <f>B13-Ugeindtastning!A16+1</f>
        <v>7</v>
      </c>
      <c r="D13" s="142">
        <f>MAX(0,MIN(B13,$C$5)-MAX(Ugeindtastning!A16,$B$5)+1)</f>
        <v>7</v>
      </c>
      <c r="E13" s="142">
        <f>MAX(0,MIN(B13,$C$6)-MAX(Ugeindtastning!A16,$B$6)+1)</f>
        <v>0</v>
      </c>
      <c r="F13" s="142">
        <f>MAX(0,MIN(B13,$C$7)-MAX(Ugeindtastning!A16,$B$7)+1)</f>
        <v>0</v>
      </c>
      <c r="G13" s="142">
        <f t="shared" si="0"/>
        <v>3</v>
      </c>
      <c r="H13" s="142">
        <f t="shared" si="1"/>
        <v>5</v>
      </c>
      <c r="I13" s="142" t="str">
        <f>IF(NOT(ISNUMBER(Ugeindtastning!D16)),"",Ugeindtastning!D16)</f>
        <v/>
      </c>
      <c r="J13" s="142">
        <f>SUM(G$12:G13)</f>
        <v>6</v>
      </c>
      <c r="K13" s="142">
        <f>SUM(H$12:H13)</f>
        <v>10</v>
      </c>
      <c r="L13" s="57" t="e">
        <f>IF(OR(B13&gt;$B$2,COUNT(I$12:I13)&lt;ROWS(I$12:I13)),NA(),SUM(I$12:I13))</f>
        <v>#N/A</v>
      </c>
      <c r="M13" s="4" t="e">
        <f>IF(NOT(ISNUMBER(Ugeindtastning!E16)),NA(),Ugeindtastning!E16)</f>
        <v>#N/A</v>
      </c>
      <c r="N13" s="4" t="e">
        <f>IF(NOT(ISNUMBER(Ugeindtastning!F16)),NA(),Ugeindtastning!F16)</f>
        <v>#N/A</v>
      </c>
      <c r="O13" s="4" t="str">
        <f>IF(Ugeindtastning!H16&lt;&gt;"",Ugeindtastning!H16,O12)</f>
        <v/>
      </c>
      <c r="P13" s="4" t="str">
        <f>IF(Ugeindtastning!G16&lt;&gt;"",Ugeindtastning!G16,P12)</f>
        <v/>
      </c>
      <c r="Q13" s="4" t="str">
        <f t="shared" si="2"/>
        <v/>
      </c>
      <c r="R13" s="4" t="str">
        <f>IF(OR(NOT(ISNUMBER(Ugeindtastning!I16)),P13="",P13&lt;=0),"",Ugeindtastning!I16/P13)</f>
        <v/>
      </c>
      <c r="S13" s="4" t="str">
        <f>IF(OR(Ugeindtastning!J16="",Ugeindtastning!$B$6="",Ugeindtastning!$B$6&lt;=0),"",Ugeindtastning!J16/Ugeindtastning!$B$6)</f>
        <v/>
      </c>
      <c r="T13" s="4" t="str">
        <f t="shared" si="3"/>
        <v/>
      </c>
      <c r="U13" s="4">
        <f t="shared" si="4"/>
        <v>0</v>
      </c>
      <c r="V13" s="4" t="str">
        <f t="shared" si="5"/>
        <v>Ikke registreret</v>
      </c>
      <c r="W13" s="4">
        <f t="shared" si="6"/>
        <v>0</v>
      </c>
      <c r="X13" s="4" t="str">
        <f t="shared" si="7"/>
        <v>14/09</v>
      </c>
      <c r="Y13" s="4">
        <f>SUM(D$12:D13)*$D$5/7</f>
        <v>6</v>
      </c>
      <c r="Z13" s="4">
        <f>SUM(D$12:D13)*$E$5/7</f>
        <v>10</v>
      </c>
      <c r="AA13" s="4" t="e">
        <f>IF(OR(B13&gt;$B$2,SUMPRODUCT(D$12:D13,U$12:U13)&gt;0),NA(),SUMPRODUCT(D$12:D13,AJ$12:AJ13))</f>
        <v>#N/A</v>
      </c>
      <c r="AB13" s="4" t="str">
        <f t="shared" si="8"/>
        <v>04/01</v>
      </c>
      <c r="AC13" s="4">
        <f>SUM(E$12:E29)*$D$6/7</f>
        <v>7.1428571428571432</v>
      </c>
      <c r="AD13" s="4">
        <f>SUM(E$12:E29)*$E$6/7</f>
        <v>10</v>
      </c>
      <c r="AE13" s="4" t="e">
        <f>IF(OR(B29&gt;$B$2,SUMPRODUCT(E$12:E29,U$12:U29)&gt;0),NA(),SUMPRODUCT(E$12:E29,AJ$12:AJ29))</f>
        <v>#N/A</v>
      </c>
      <c r="AF13" s="4" t="str">
        <f t="shared" si="9"/>
        <v>05/04</v>
      </c>
      <c r="AG13" s="4">
        <f>SUM(F$12:F42)*$D$7/7</f>
        <v>11</v>
      </c>
      <c r="AH13" s="4">
        <f>SUM(F$12:F42)*$E$7/7</f>
        <v>14.142857142857142</v>
      </c>
      <c r="AI13" s="4" t="e">
        <f>IF(OR(B42&gt;$B$2,SUMPRODUCT(F$12:F42,U$12:U42)&gt;0),NA(),SUMPRODUCT(F$12:F42,AJ$12:AJ42))</f>
        <v>#N/A</v>
      </c>
      <c r="AJ13" s="4">
        <f t="shared" si="10"/>
        <v>0</v>
      </c>
      <c r="AK13" s="4" t="e">
        <f>IF(NOT(ISNUMBER(Ugeindtastning!I16)),NA(),Ugeindtastning!I16)</f>
        <v>#N/A</v>
      </c>
      <c r="AL13" s="4" t="e">
        <f t="shared" si="11"/>
        <v>#N/A</v>
      </c>
      <c r="AM13" s="4" t="e">
        <f t="shared" si="12"/>
        <v>#N/A</v>
      </c>
      <c r="AN13" s="4" t="e">
        <f t="shared" si="13"/>
        <v>#N/A</v>
      </c>
      <c r="AO13" s="4" t="e">
        <f t="shared" si="14"/>
        <v>#N/A</v>
      </c>
      <c r="AP13" s="4" t="e">
        <f t="shared" si="15"/>
        <v>#N/A</v>
      </c>
    </row>
    <row r="14" spans="1:42" s="5" customFormat="1" ht="23" customHeight="1">
      <c r="A14" s="6" t="str">
        <f>TEXT(Ugeindtastning!A17,"dd/mm")</f>
        <v>21/09</v>
      </c>
      <c r="B14" s="143">
        <f>Ugeindtastning!B17</f>
        <v>46292</v>
      </c>
      <c r="C14" s="142">
        <f>B14-Ugeindtastning!A17+1</f>
        <v>7</v>
      </c>
      <c r="D14" s="142">
        <f>MAX(0,MIN(B14,$C$5)-MAX(Ugeindtastning!A17,$B$5)+1)</f>
        <v>7</v>
      </c>
      <c r="E14" s="142">
        <f>MAX(0,MIN(B14,$C$6)-MAX(Ugeindtastning!A17,$B$6)+1)</f>
        <v>0</v>
      </c>
      <c r="F14" s="142">
        <f>MAX(0,MIN(B14,$C$7)-MAX(Ugeindtastning!A17,$B$7)+1)</f>
        <v>0</v>
      </c>
      <c r="G14" s="142">
        <f t="shared" si="0"/>
        <v>3</v>
      </c>
      <c r="H14" s="142">
        <f t="shared" si="1"/>
        <v>5</v>
      </c>
      <c r="I14" s="142" t="str">
        <f>IF(NOT(ISNUMBER(Ugeindtastning!D17)),"",Ugeindtastning!D17)</f>
        <v/>
      </c>
      <c r="J14" s="142">
        <f>SUM(G$12:G14)</f>
        <v>9</v>
      </c>
      <c r="K14" s="142">
        <f>SUM(H$12:H14)</f>
        <v>15</v>
      </c>
      <c r="L14" s="57" t="e">
        <f>IF(OR(B14&gt;$B$2,COUNT(I$12:I14)&lt;ROWS(I$12:I14)),NA(),SUM(I$12:I14))</f>
        <v>#N/A</v>
      </c>
      <c r="M14" s="4" t="e">
        <f>IF(NOT(ISNUMBER(Ugeindtastning!E17)),NA(),Ugeindtastning!E17)</f>
        <v>#N/A</v>
      </c>
      <c r="N14" s="4" t="e">
        <f>IF(NOT(ISNUMBER(Ugeindtastning!F17)),NA(),Ugeindtastning!F17)</f>
        <v>#N/A</v>
      </c>
      <c r="O14" s="4" t="str">
        <f>IF(Ugeindtastning!H17&lt;&gt;"",Ugeindtastning!H17,O13)</f>
        <v/>
      </c>
      <c r="P14" s="4" t="str">
        <f>IF(Ugeindtastning!G17&lt;&gt;"",Ugeindtastning!G17,P13)</f>
        <v/>
      </c>
      <c r="Q14" s="4" t="str">
        <f t="shared" si="2"/>
        <v/>
      </c>
      <c r="R14" s="4" t="str">
        <f>IF(OR(NOT(ISNUMBER(Ugeindtastning!I17)),P14="",P14&lt;=0),"",Ugeindtastning!I17/P14)</f>
        <v/>
      </c>
      <c r="S14" s="4" t="str">
        <f>IF(OR(Ugeindtastning!J17="",Ugeindtastning!$B$6="",Ugeindtastning!$B$6&lt;=0),"",Ugeindtastning!J17/Ugeindtastning!$B$6)</f>
        <v/>
      </c>
      <c r="T14" s="4" t="str">
        <f t="shared" si="3"/>
        <v/>
      </c>
      <c r="U14" s="4">
        <f t="shared" si="4"/>
        <v>0</v>
      </c>
      <c r="V14" s="4" t="str">
        <f t="shared" si="5"/>
        <v>Ikke registreret</v>
      </c>
      <c r="W14" s="4">
        <f t="shared" si="6"/>
        <v>0</v>
      </c>
      <c r="X14" s="4" t="str">
        <f t="shared" si="7"/>
        <v>21/09</v>
      </c>
      <c r="Y14" s="4">
        <f>SUM(D$12:D14)*$D$5/7</f>
        <v>9</v>
      </c>
      <c r="Z14" s="4">
        <f>SUM(D$12:D14)*$E$5/7</f>
        <v>15</v>
      </c>
      <c r="AA14" s="4" t="e">
        <f>IF(OR(B14&gt;$B$2,SUMPRODUCT(D$12:D14,U$12:U14)&gt;0),NA(),SUMPRODUCT(D$12:D14,AJ$12:AJ14))</f>
        <v>#N/A</v>
      </c>
      <c r="AB14" s="4" t="str">
        <f t="shared" si="8"/>
        <v>11/01</v>
      </c>
      <c r="AC14" s="4">
        <f>SUM(E$12:E30)*$D$6/7</f>
        <v>12.142857142857142</v>
      </c>
      <c r="AD14" s="4">
        <f>SUM(E$12:E30)*$E$6/7</f>
        <v>17</v>
      </c>
      <c r="AE14" s="4" t="e">
        <f>IF(OR(B30&gt;$B$2,SUMPRODUCT(E$12:E30,U$12:U30)&gt;0),NA(),SUMPRODUCT(E$12:E30,AJ$12:AJ30))</f>
        <v>#N/A</v>
      </c>
      <c r="AF14" s="4" t="str">
        <f t="shared" si="9"/>
        <v>12/04</v>
      </c>
      <c r="AG14" s="4">
        <f>SUM(F$12:F43)*$D$7/7</f>
        <v>18</v>
      </c>
      <c r="AH14" s="4">
        <f>SUM(F$12:F43)*$E$7/7</f>
        <v>23.142857142857142</v>
      </c>
      <c r="AI14" s="4" t="e">
        <f>IF(OR(B43&gt;$B$2,SUMPRODUCT(F$12:F43,U$12:U43)&gt;0),NA(),SUMPRODUCT(F$12:F43,AJ$12:AJ43))</f>
        <v>#N/A</v>
      </c>
      <c r="AJ14" s="4">
        <f t="shared" si="10"/>
        <v>0</v>
      </c>
      <c r="AK14" s="4" t="e">
        <f>IF(NOT(ISNUMBER(Ugeindtastning!I17)),NA(),Ugeindtastning!I17)</f>
        <v>#N/A</v>
      </c>
      <c r="AL14" s="4" t="e">
        <f t="shared" si="11"/>
        <v>#N/A</v>
      </c>
      <c r="AM14" s="4" t="e">
        <f t="shared" si="12"/>
        <v>#N/A</v>
      </c>
      <c r="AN14" s="4" t="e">
        <f t="shared" si="13"/>
        <v>#N/A</v>
      </c>
      <c r="AO14" s="4" t="e">
        <f t="shared" si="14"/>
        <v>#N/A</v>
      </c>
      <c r="AP14" s="4" t="e">
        <f t="shared" si="15"/>
        <v>#N/A</v>
      </c>
    </row>
    <row r="15" spans="1:42" s="5" customFormat="1" ht="23" customHeight="1">
      <c r="A15" s="6" t="str">
        <f>TEXT(Ugeindtastning!A18,"dd/mm")</f>
        <v>28/09</v>
      </c>
      <c r="B15" s="143">
        <f>Ugeindtastning!B18</f>
        <v>46299</v>
      </c>
      <c r="C15" s="142">
        <f>B15-Ugeindtastning!A18+1</f>
        <v>7</v>
      </c>
      <c r="D15" s="142">
        <f>MAX(0,MIN(B15,$C$5)-MAX(Ugeindtastning!A18,$B$5)+1)</f>
        <v>7</v>
      </c>
      <c r="E15" s="142">
        <f>MAX(0,MIN(B15,$C$6)-MAX(Ugeindtastning!A18,$B$6)+1)</f>
        <v>0</v>
      </c>
      <c r="F15" s="142">
        <f>MAX(0,MIN(B15,$C$7)-MAX(Ugeindtastning!A18,$B$7)+1)</f>
        <v>0</v>
      </c>
      <c r="G15" s="142">
        <f t="shared" si="0"/>
        <v>3</v>
      </c>
      <c r="H15" s="142">
        <f t="shared" si="1"/>
        <v>5</v>
      </c>
      <c r="I15" s="142" t="str">
        <f>IF(NOT(ISNUMBER(Ugeindtastning!D18)),"",Ugeindtastning!D18)</f>
        <v/>
      </c>
      <c r="J15" s="142">
        <f>SUM(G$12:G15)</f>
        <v>12</v>
      </c>
      <c r="K15" s="142">
        <f>SUM(H$12:H15)</f>
        <v>20</v>
      </c>
      <c r="L15" s="57" t="e">
        <f>IF(OR(B15&gt;$B$2,COUNT(I$12:I15)&lt;ROWS(I$12:I15)),NA(),SUM(I$12:I15))</f>
        <v>#N/A</v>
      </c>
      <c r="M15" s="4" t="e">
        <f>IF(NOT(ISNUMBER(Ugeindtastning!E18)),NA(),Ugeindtastning!E18)</f>
        <v>#N/A</v>
      </c>
      <c r="N15" s="4" t="e">
        <f>IF(NOT(ISNUMBER(Ugeindtastning!F18)),NA(),Ugeindtastning!F18)</f>
        <v>#N/A</v>
      </c>
      <c r="O15" s="4" t="str">
        <f>IF(Ugeindtastning!H18&lt;&gt;"",Ugeindtastning!H18,O14)</f>
        <v/>
      </c>
      <c r="P15" s="4" t="str">
        <f>IF(Ugeindtastning!G18&lt;&gt;"",Ugeindtastning!G18,P14)</f>
        <v/>
      </c>
      <c r="Q15" s="4" t="str">
        <f t="shared" si="2"/>
        <v/>
      </c>
      <c r="R15" s="4" t="str">
        <f>IF(OR(NOT(ISNUMBER(Ugeindtastning!I18)),P15="",P15&lt;=0),"",Ugeindtastning!I18/P15)</f>
        <v/>
      </c>
      <c r="S15" s="4" t="str">
        <f>IF(OR(Ugeindtastning!J18="",Ugeindtastning!$B$6="",Ugeindtastning!$B$6&lt;=0),"",Ugeindtastning!J18/Ugeindtastning!$B$6)</f>
        <v/>
      </c>
      <c r="T15" s="4" t="str">
        <f t="shared" si="3"/>
        <v/>
      </c>
      <c r="U15" s="4">
        <f t="shared" si="4"/>
        <v>0</v>
      </c>
      <c r="V15" s="4" t="str">
        <f t="shared" si="5"/>
        <v>Ikke registreret</v>
      </c>
      <c r="W15" s="4">
        <f t="shared" si="6"/>
        <v>0</v>
      </c>
      <c r="X15" s="4" t="str">
        <f t="shared" si="7"/>
        <v>28/09</v>
      </c>
      <c r="Y15" s="4">
        <f>SUM(D$12:D15)*$D$5/7</f>
        <v>12</v>
      </c>
      <c r="Z15" s="4">
        <f>SUM(D$12:D15)*$E$5/7</f>
        <v>20</v>
      </c>
      <c r="AA15" s="4" t="e">
        <f>IF(OR(B15&gt;$B$2,SUMPRODUCT(D$12:D15,U$12:U15)&gt;0),NA(),SUMPRODUCT(D$12:D15,AJ$12:AJ15))</f>
        <v>#N/A</v>
      </c>
      <c r="AB15" s="4" t="str">
        <f t="shared" si="8"/>
        <v>18/01</v>
      </c>
      <c r="AC15" s="4">
        <f>SUM(E$12:E31)*$D$6/7</f>
        <v>17.142857142857142</v>
      </c>
      <c r="AD15" s="4">
        <f>SUM(E$12:E31)*$E$6/7</f>
        <v>24</v>
      </c>
      <c r="AE15" s="4" t="e">
        <f>IF(OR(B31&gt;$B$2,SUMPRODUCT(E$12:E31,U$12:U31)&gt;0),NA(),SUMPRODUCT(E$12:E31,AJ$12:AJ31))</f>
        <v>#N/A</v>
      </c>
      <c r="AF15" s="4" t="str">
        <f t="shared" si="9"/>
        <v>19/04</v>
      </c>
      <c r="AG15" s="4">
        <f>SUM(F$12:F44)*$D$7/7</f>
        <v>25</v>
      </c>
      <c r="AH15" s="4">
        <f>SUM(F$12:F44)*$E$7/7</f>
        <v>32.142857142857146</v>
      </c>
      <c r="AI15" s="4" t="e">
        <f>IF(OR(B44&gt;$B$2,SUMPRODUCT(F$12:F44,U$12:U44)&gt;0),NA(),SUMPRODUCT(F$12:F44,AJ$12:AJ44))</f>
        <v>#N/A</v>
      </c>
      <c r="AJ15" s="4">
        <f t="shared" si="10"/>
        <v>0</v>
      </c>
      <c r="AK15" s="4" t="e">
        <f>IF(NOT(ISNUMBER(Ugeindtastning!I18)),NA(),Ugeindtastning!I18)</f>
        <v>#N/A</v>
      </c>
      <c r="AL15" s="4" t="e">
        <f t="shared" si="11"/>
        <v>#N/A</v>
      </c>
      <c r="AM15" s="4" t="e">
        <f t="shared" si="12"/>
        <v>#N/A</v>
      </c>
      <c r="AN15" s="4" t="e">
        <f t="shared" si="13"/>
        <v>#N/A</v>
      </c>
      <c r="AO15" s="4" t="e">
        <f t="shared" si="14"/>
        <v>#N/A</v>
      </c>
      <c r="AP15" s="4" t="e">
        <f t="shared" si="15"/>
        <v>#N/A</v>
      </c>
    </row>
    <row r="16" spans="1:42" s="5" customFormat="1" ht="23" customHeight="1">
      <c r="A16" s="6" t="str">
        <f>TEXT(Ugeindtastning!A19,"dd/mm")</f>
        <v>05/10</v>
      </c>
      <c r="B16" s="143">
        <f>Ugeindtastning!B19</f>
        <v>46306</v>
      </c>
      <c r="C16" s="142">
        <f>B16-Ugeindtastning!A19+1</f>
        <v>7</v>
      </c>
      <c r="D16" s="142">
        <f>MAX(0,MIN(B16,$C$5)-MAX(Ugeindtastning!A19,$B$5)+1)</f>
        <v>7</v>
      </c>
      <c r="E16" s="142">
        <f>MAX(0,MIN(B16,$C$6)-MAX(Ugeindtastning!A19,$B$6)+1)</f>
        <v>0</v>
      </c>
      <c r="F16" s="142">
        <f>MAX(0,MIN(B16,$C$7)-MAX(Ugeindtastning!A19,$B$7)+1)</f>
        <v>0</v>
      </c>
      <c r="G16" s="142">
        <f t="shared" si="0"/>
        <v>3</v>
      </c>
      <c r="H16" s="142">
        <f t="shared" si="1"/>
        <v>5</v>
      </c>
      <c r="I16" s="142" t="str">
        <f>IF(NOT(ISNUMBER(Ugeindtastning!D19)),"",Ugeindtastning!D19)</f>
        <v/>
      </c>
      <c r="J16" s="142">
        <f>SUM(G$12:G16)</f>
        <v>15</v>
      </c>
      <c r="K16" s="142">
        <f>SUM(H$12:H16)</f>
        <v>25</v>
      </c>
      <c r="L16" s="57" t="e">
        <f>IF(OR(B16&gt;$B$2,COUNT(I$12:I16)&lt;ROWS(I$12:I16)),NA(),SUM(I$12:I16))</f>
        <v>#N/A</v>
      </c>
      <c r="M16" s="4" t="e">
        <f>IF(NOT(ISNUMBER(Ugeindtastning!E19)),NA(),Ugeindtastning!E19)</f>
        <v>#N/A</v>
      </c>
      <c r="N16" s="4" t="e">
        <f>IF(NOT(ISNUMBER(Ugeindtastning!F19)),NA(),Ugeindtastning!F19)</f>
        <v>#N/A</v>
      </c>
      <c r="O16" s="4" t="str">
        <f>IF(Ugeindtastning!H19&lt;&gt;"",Ugeindtastning!H19,O15)</f>
        <v/>
      </c>
      <c r="P16" s="4" t="str">
        <f>IF(Ugeindtastning!G19&lt;&gt;"",Ugeindtastning!G19,P15)</f>
        <v/>
      </c>
      <c r="Q16" s="4" t="str">
        <f t="shared" si="2"/>
        <v/>
      </c>
      <c r="R16" s="4" t="str">
        <f>IF(OR(NOT(ISNUMBER(Ugeindtastning!I19)),P16="",P16&lt;=0),"",Ugeindtastning!I19/P16)</f>
        <v/>
      </c>
      <c r="S16" s="4" t="str">
        <f>IF(OR(Ugeindtastning!J19="",Ugeindtastning!$B$6="",Ugeindtastning!$B$6&lt;=0),"",Ugeindtastning!J19/Ugeindtastning!$B$6)</f>
        <v/>
      </c>
      <c r="T16" s="4" t="str">
        <f t="shared" si="3"/>
        <v/>
      </c>
      <c r="U16" s="4">
        <f t="shared" si="4"/>
        <v>0</v>
      </c>
      <c r="V16" s="4" t="str">
        <f t="shared" si="5"/>
        <v>Ikke registreret</v>
      </c>
      <c r="W16" s="4">
        <f t="shared" si="6"/>
        <v>0</v>
      </c>
      <c r="X16" s="4" t="str">
        <f t="shared" si="7"/>
        <v>05/10</v>
      </c>
      <c r="Y16" s="4">
        <f>SUM(D$12:D16)*$D$5/7</f>
        <v>15</v>
      </c>
      <c r="Z16" s="4">
        <f>SUM(D$12:D16)*$E$5/7</f>
        <v>25</v>
      </c>
      <c r="AA16" s="4" t="e">
        <f>IF(OR(B16&gt;$B$2,SUMPRODUCT(D$12:D16,U$12:U16)&gt;0),NA(),SUMPRODUCT(D$12:D16,AJ$12:AJ16))</f>
        <v>#N/A</v>
      </c>
      <c r="AB16" s="4" t="str">
        <f t="shared" si="8"/>
        <v>25/01</v>
      </c>
      <c r="AC16" s="4">
        <f>SUM(E$12:E32)*$D$6/7</f>
        <v>22.142857142857142</v>
      </c>
      <c r="AD16" s="4">
        <f>SUM(E$12:E32)*$E$6/7</f>
        <v>31</v>
      </c>
      <c r="AE16" s="4" t="e">
        <f>IF(OR(B32&gt;$B$2,SUMPRODUCT(E$12:E32,U$12:U32)&gt;0),NA(),SUMPRODUCT(E$12:E32,AJ$12:AJ32))</f>
        <v>#N/A</v>
      </c>
      <c r="AF16" s="4" t="str">
        <f t="shared" si="9"/>
        <v>26/04</v>
      </c>
      <c r="AG16" s="4">
        <f>SUM(F$12:F45)*$D$7/7</f>
        <v>32</v>
      </c>
      <c r="AH16" s="4">
        <f>SUM(F$12:F45)*$E$7/7</f>
        <v>41.142857142857146</v>
      </c>
      <c r="AI16" s="4" t="e">
        <f>IF(OR(B45&gt;$B$2,SUMPRODUCT(F$12:F45,U$12:U45)&gt;0),NA(),SUMPRODUCT(F$12:F45,AJ$12:AJ45))</f>
        <v>#N/A</v>
      </c>
      <c r="AJ16" s="4">
        <f t="shared" si="10"/>
        <v>0</v>
      </c>
      <c r="AK16" s="4" t="e">
        <f>IF(NOT(ISNUMBER(Ugeindtastning!I19)),NA(),Ugeindtastning!I19)</f>
        <v>#N/A</v>
      </c>
      <c r="AL16" s="4" t="e">
        <f t="shared" si="11"/>
        <v>#N/A</v>
      </c>
      <c r="AM16" s="4" t="e">
        <f t="shared" si="12"/>
        <v>#N/A</v>
      </c>
      <c r="AN16" s="4" t="e">
        <f t="shared" si="13"/>
        <v>#N/A</v>
      </c>
      <c r="AO16" s="4" t="e">
        <f t="shared" si="14"/>
        <v>#N/A</v>
      </c>
      <c r="AP16" s="4" t="e">
        <f t="shared" si="15"/>
        <v>#N/A</v>
      </c>
    </row>
    <row r="17" spans="1:42" s="5" customFormat="1" ht="23" customHeight="1">
      <c r="A17" s="6" t="str">
        <f>TEXT(Ugeindtastning!A20,"dd/mm")</f>
        <v>12/10</v>
      </c>
      <c r="B17" s="143">
        <f>Ugeindtastning!B20</f>
        <v>46313</v>
      </c>
      <c r="C17" s="142">
        <f>B17-Ugeindtastning!A20+1</f>
        <v>7</v>
      </c>
      <c r="D17" s="142">
        <f>MAX(0,MIN(B17,$C$5)-MAX(Ugeindtastning!A20,$B$5)+1)</f>
        <v>7</v>
      </c>
      <c r="E17" s="142">
        <f>MAX(0,MIN(B17,$C$6)-MAX(Ugeindtastning!A20,$B$6)+1)</f>
        <v>0</v>
      </c>
      <c r="F17" s="142">
        <f>MAX(0,MIN(B17,$C$7)-MAX(Ugeindtastning!A20,$B$7)+1)</f>
        <v>0</v>
      </c>
      <c r="G17" s="142">
        <f t="shared" si="0"/>
        <v>3</v>
      </c>
      <c r="H17" s="142">
        <f t="shared" si="1"/>
        <v>5</v>
      </c>
      <c r="I17" s="142" t="str">
        <f>IF(NOT(ISNUMBER(Ugeindtastning!D20)),"",Ugeindtastning!D20)</f>
        <v/>
      </c>
      <c r="J17" s="142">
        <f>SUM(G$12:G17)</f>
        <v>18</v>
      </c>
      <c r="K17" s="142">
        <f>SUM(H$12:H17)</f>
        <v>30</v>
      </c>
      <c r="L17" s="57" t="e">
        <f>IF(OR(B17&gt;$B$2,COUNT(I$12:I17)&lt;ROWS(I$12:I17)),NA(),SUM(I$12:I17))</f>
        <v>#N/A</v>
      </c>
      <c r="M17" s="4" t="e">
        <f>IF(NOT(ISNUMBER(Ugeindtastning!E20)),NA(),Ugeindtastning!E20)</f>
        <v>#N/A</v>
      </c>
      <c r="N17" s="4" t="e">
        <f>IF(NOT(ISNUMBER(Ugeindtastning!F20)),NA(),Ugeindtastning!F20)</f>
        <v>#N/A</v>
      </c>
      <c r="O17" s="4" t="str">
        <f>IF(Ugeindtastning!H20&lt;&gt;"",Ugeindtastning!H20,O16)</f>
        <v/>
      </c>
      <c r="P17" s="4" t="str">
        <f>IF(Ugeindtastning!G20&lt;&gt;"",Ugeindtastning!G20,P16)</f>
        <v/>
      </c>
      <c r="Q17" s="4" t="str">
        <f t="shared" si="2"/>
        <v/>
      </c>
      <c r="R17" s="4" t="str">
        <f>IF(OR(NOT(ISNUMBER(Ugeindtastning!I20)),P17="",P17&lt;=0),"",Ugeindtastning!I20/P17)</f>
        <v/>
      </c>
      <c r="S17" s="4" t="str">
        <f>IF(OR(Ugeindtastning!J20="",Ugeindtastning!$B$6="",Ugeindtastning!$B$6&lt;=0),"",Ugeindtastning!J20/Ugeindtastning!$B$6)</f>
        <v/>
      </c>
      <c r="T17" s="4" t="str">
        <f t="shared" si="3"/>
        <v/>
      </c>
      <c r="U17" s="4">
        <f t="shared" si="4"/>
        <v>0</v>
      </c>
      <c r="V17" s="4" t="str">
        <f t="shared" si="5"/>
        <v>Ikke registreret</v>
      </c>
      <c r="W17" s="4">
        <f t="shared" si="6"/>
        <v>0</v>
      </c>
      <c r="X17" s="4" t="str">
        <f t="shared" si="7"/>
        <v>12/10</v>
      </c>
      <c r="Y17" s="4">
        <f>SUM(D$12:D17)*$D$5/7</f>
        <v>18</v>
      </c>
      <c r="Z17" s="4">
        <f>SUM(D$12:D17)*$E$5/7</f>
        <v>30</v>
      </c>
      <c r="AA17" s="4" t="e">
        <f>IF(OR(B17&gt;$B$2,SUMPRODUCT(D$12:D17,U$12:U17)&gt;0),NA(),SUMPRODUCT(D$12:D17,AJ$12:AJ17))</f>
        <v>#N/A</v>
      </c>
      <c r="AB17" s="4" t="str">
        <f t="shared" si="8"/>
        <v>01/02</v>
      </c>
      <c r="AC17" s="4">
        <f>SUM(E$12:E33)*$D$6/7</f>
        <v>27.142857142857142</v>
      </c>
      <c r="AD17" s="4">
        <f>SUM(E$12:E33)*$E$6/7</f>
        <v>38</v>
      </c>
      <c r="AE17" s="4" t="e">
        <f>IF(OR(B33&gt;$B$2,SUMPRODUCT(E$12:E33,U$12:U33)&gt;0),NA(),SUMPRODUCT(E$12:E33,AJ$12:AJ33))</f>
        <v>#N/A</v>
      </c>
      <c r="AF17" s="4" t="str">
        <f t="shared" si="9"/>
        <v>03/05</v>
      </c>
      <c r="AG17" s="4">
        <f>SUM(F$12:F46)*$D$7/7</f>
        <v>39</v>
      </c>
      <c r="AH17" s="4">
        <f>SUM(F$12:F46)*$E$7/7</f>
        <v>50.142857142857146</v>
      </c>
      <c r="AI17" s="4" t="e">
        <f>IF(OR(B46&gt;$B$2,SUMPRODUCT(F$12:F46,U$12:U46)&gt;0),NA(),SUMPRODUCT(F$12:F46,AJ$12:AJ46))</f>
        <v>#N/A</v>
      </c>
      <c r="AJ17" s="4">
        <f t="shared" si="10"/>
        <v>0</v>
      </c>
      <c r="AK17" s="4" t="e">
        <f>IF(NOT(ISNUMBER(Ugeindtastning!I20)),NA(),Ugeindtastning!I20)</f>
        <v>#N/A</v>
      </c>
      <c r="AL17" s="4" t="e">
        <f t="shared" si="11"/>
        <v>#N/A</v>
      </c>
      <c r="AM17" s="4" t="e">
        <f t="shared" si="12"/>
        <v>#N/A</v>
      </c>
      <c r="AN17" s="4" t="e">
        <f t="shared" si="13"/>
        <v>#N/A</v>
      </c>
      <c r="AO17" s="4" t="e">
        <f t="shared" si="14"/>
        <v>#N/A</v>
      </c>
      <c r="AP17" s="4" t="e">
        <f t="shared" si="15"/>
        <v>#N/A</v>
      </c>
    </row>
    <row r="18" spans="1:42" s="5" customFormat="1" ht="23" customHeight="1">
      <c r="A18" s="6" t="str">
        <f>TEXT(Ugeindtastning!A21,"dd/mm")</f>
        <v>19/10</v>
      </c>
      <c r="B18" s="143">
        <f>Ugeindtastning!B21</f>
        <v>46320</v>
      </c>
      <c r="C18" s="142">
        <f>B18-Ugeindtastning!A21+1</f>
        <v>7</v>
      </c>
      <c r="D18" s="142">
        <f>MAX(0,MIN(B18,$C$5)-MAX(Ugeindtastning!A21,$B$5)+1)</f>
        <v>7</v>
      </c>
      <c r="E18" s="142">
        <f>MAX(0,MIN(B18,$C$6)-MAX(Ugeindtastning!A21,$B$6)+1)</f>
        <v>0</v>
      </c>
      <c r="F18" s="142">
        <f>MAX(0,MIN(B18,$C$7)-MAX(Ugeindtastning!A21,$B$7)+1)</f>
        <v>0</v>
      </c>
      <c r="G18" s="142">
        <f t="shared" si="0"/>
        <v>3</v>
      </c>
      <c r="H18" s="142">
        <f t="shared" si="1"/>
        <v>5</v>
      </c>
      <c r="I18" s="142" t="str">
        <f>IF(NOT(ISNUMBER(Ugeindtastning!D21)),"",Ugeindtastning!D21)</f>
        <v/>
      </c>
      <c r="J18" s="142">
        <f>SUM(G$12:G18)</f>
        <v>21</v>
      </c>
      <c r="K18" s="142">
        <f>SUM(H$12:H18)</f>
        <v>35</v>
      </c>
      <c r="L18" s="57" t="e">
        <f>IF(OR(B18&gt;$B$2,COUNT(I$12:I18)&lt;ROWS(I$12:I18)),NA(),SUM(I$12:I18))</f>
        <v>#N/A</v>
      </c>
      <c r="M18" s="4" t="e">
        <f>IF(NOT(ISNUMBER(Ugeindtastning!E21)),NA(),Ugeindtastning!E21)</f>
        <v>#N/A</v>
      </c>
      <c r="N18" s="4" t="e">
        <f>IF(NOT(ISNUMBER(Ugeindtastning!F21)),NA(),Ugeindtastning!F21)</f>
        <v>#N/A</v>
      </c>
      <c r="O18" s="4" t="str">
        <f>IF(Ugeindtastning!H21&lt;&gt;"",Ugeindtastning!H21,O17)</f>
        <v/>
      </c>
      <c r="P18" s="4" t="str">
        <f>IF(Ugeindtastning!G21&lt;&gt;"",Ugeindtastning!G21,P17)</f>
        <v/>
      </c>
      <c r="Q18" s="4" t="str">
        <f t="shared" si="2"/>
        <v/>
      </c>
      <c r="R18" s="4" t="str">
        <f>IF(OR(NOT(ISNUMBER(Ugeindtastning!I21)),P18="",P18&lt;=0),"",Ugeindtastning!I21/P18)</f>
        <v/>
      </c>
      <c r="S18" s="4" t="str">
        <f>IF(OR(Ugeindtastning!J21="",Ugeindtastning!$B$6="",Ugeindtastning!$B$6&lt;=0),"",Ugeindtastning!J21/Ugeindtastning!$B$6)</f>
        <v/>
      </c>
      <c r="T18" s="4" t="str">
        <f t="shared" si="3"/>
        <v/>
      </c>
      <c r="U18" s="4">
        <f t="shared" si="4"/>
        <v>0</v>
      </c>
      <c r="V18" s="4" t="str">
        <f t="shared" si="5"/>
        <v>Ikke registreret</v>
      </c>
      <c r="W18" s="4">
        <f t="shared" si="6"/>
        <v>0</v>
      </c>
      <c r="X18" s="4" t="str">
        <f t="shared" si="7"/>
        <v>19/10</v>
      </c>
      <c r="Y18" s="4">
        <f>SUM(D$12:D18)*$D$5/7</f>
        <v>21</v>
      </c>
      <c r="Z18" s="4">
        <f>SUM(D$12:D18)*$E$5/7</f>
        <v>35</v>
      </c>
      <c r="AA18" s="4" t="e">
        <f>IF(OR(B18&gt;$B$2,SUMPRODUCT(D$12:D18,U$12:U18)&gt;0),NA(),SUMPRODUCT(D$12:D18,AJ$12:AJ18))</f>
        <v>#N/A</v>
      </c>
      <c r="AB18" s="4" t="str">
        <f t="shared" si="8"/>
        <v>08/02</v>
      </c>
      <c r="AC18" s="4">
        <f>SUM(E$12:E34)*$D$6/7</f>
        <v>32.142857142857146</v>
      </c>
      <c r="AD18" s="4">
        <f>SUM(E$12:E34)*$E$6/7</f>
        <v>45</v>
      </c>
      <c r="AE18" s="4" t="e">
        <f>IF(OR(B34&gt;$B$2,SUMPRODUCT(E$12:E34,U$12:U34)&gt;0),NA(),SUMPRODUCT(E$12:E34,AJ$12:AJ34))</f>
        <v>#N/A</v>
      </c>
      <c r="AF18" s="4" t="str">
        <f t="shared" si="9"/>
        <v>10/05</v>
      </c>
      <c r="AG18" s="4">
        <f>SUM(F$12:F47)*$D$7/7</f>
        <v>46</v>
      </c>
      <c r="AH18" s="4">
        <f>SUM(F$12:F47)*$E$7/7</f>
        <v>59.142857142857146</v>
      </c>
      <c r="AI18" s="4" t="e">
        <f>IF(OR(B47&gt;$B$2,SUMPRODUCT(F$12:F47,U$12:U47)&gt;0),NA(),SUMPRODUCT(F$12:F47,AJ$12:AJ47))</f>
        <v>#N/A</v>
      </c>
      <c r="AJ18" s="4">
        <f t="shared" si="10"/>
        <v>0</v>
      </c>
      <c r="AK18" s="4" t="e">
        <f>IF(NOT(ISNUMBER(Ugeindtastning!I21)),NA(),Ugeindtastning!I21)</f>
        <v>#N/A</v>
      </c>
      <c r="AL18" s="4" t="e">
        <f t="shared" si="11"/>
        <v>#N/A</v>
      </c>
      <c r="AM18" s="4" t="e">
        <f t="shared" si="12"/>
        <v>#N/A</v>
      </c>
      <c r="AN18" s="4" t="e">
        <f t="shared" si="13"/>
        <v>#N/A</v>
      </c>
      <c r="AO18" s="4" t="e">
        <f t="shared" si="14"/>
        <v>#N/A</v>
      </c>
      <c r="AP18" s="4" t="e">
        <f t="shared" si="15"/>
        <v>#N/A</v>
      </c>
    </row>
    <row r="19" spans="1:42" s="5" customFormat="1" ht="23" customHeight="1">
      <c r="A19" s="6" t="str">
        <f>TEXT(Ugeindtastning!A22,"dd/mm")</f>
        <v>26/10</v>
      </c>
      <c r="B19" s="143">
        <f>Ugeindtastning!B22</f>
        <v>46327</v>
      </c>
      <c r="C19" s="142">
        <f>B19-Ugeindtastning!A22+1</f>
        <v>7</v>
      </c>
      <c r="D19" s="142">
        <f>MAX(0,MIN(B19,$C$5)-MAX(Ugeindtastning!A22,$B$5)+1)</f>
        <v>7</v>
      </c>
      <c r="E19" s="142">
        <f>MAX(0,MIN(B19,$C$6)-MAX(Ugeindtastning!A22,$B$6)+1)</f>
        <v>0</v>
      </c>
      <c r="F19" s="142">
        <f>MAX(0,MIN(B19,$C$7)-MAX(Ugeindtastning!A22,$B$7)+1)</f>
        <v>0</v>
      </c>
      <c r="G19" s="142">
        <f t="shared" si="0"/>
        <v>3</v>
      </c>
      <c r="H19" s="142">
        <f t="shared" si="1"/>
        <v>5</v>
      </c>
      <c r="I19" s="142" t="str">
        <f>IF(NOT(ISNUMBER(Ugeindtastning!D22)),"",Ugeindtastning!D22)</f>
        <v/>
      </c>
      <c r="J19" s="142">
        <f>SUM(G$12:G19)</f>
        <v>24</v>
      </c>
      <c r="K19" s="142">
        <f>SUM(H$12:H19)</f>
        <v>40</v>
      </c>
      <c r="L19" s="57" t="e">
        <f>IF(OR(B19&gt;$B$2,COUNT(I$12:I19)&lt;ROWS(I$12:I19)),NA(),SUM(I$12:I19))</f>
        <v>#N/A</v>
      </c>
      <c r="M19" s="4" t="e">
        <f>IF(NOT(ISNUMBER(Ugeindtastning!E22)),NA(),Ugeindtastning!E22)</f>
        <v>#N/A</v>
      </c>
      <c r="N19" s="4" t="e">
        <f>IF(NOT(ISNUMBER(Ugeindtastning!F22)),NA(),Ugeindtastning!F22)</f>
        <v>#N/A</v>
      </c>
      <c r="O19" s="4" t="str">
        <f>IF(Ugeindtastning!H22&lt;&gt;"",Ugeindtastning!H22,O18)</f>
        <v/>
      </c>
      <c r="P19" s="4" t="str">
        <f>IF(Ugeindtastning!G22&lt;&gt;"",Ugeindtastning!G22,P18)</f>
        <v/>
      </c>
      <c r="Q19" s="4" t="str">
        <f t="shared" si="2"/>
        <v/>
      </c>
      <c r="R19" s="4" t="str">
        <f>IF(OR(NOT(ISNUMBER(Ugeindtastning!I22)),P19="",P19&lt;=0),"",Ugeindtastning!I22/P19)</f>
        <v/>
      </c>
      <c r="S19" s="4" t="str">
        <f>IF(OR(Ugeindtastning!J22="",Ugeindtastning!$B$6="",Ugeindtastning!$B$6&lt;=0),"",Ugeindtastning!J22/Ugeindtastning!$B$6)</f>
        <v/>
      </c>
      <c r="T19" s="4" t="str">
        <f t="shared" si="3"/>
        <v/>
      </c>
      <c r="U19" s="4">
        <f t="shared" si="4"/>
        <v>0</v>
      </c>
      <c r="V19" s="4" t="str">
        <f t="shared" si="5"/>
        <v>Ikke registreret</v>
      </c>
      <c r="W19" s="4">
        <f t="shared" si="6"/>
        <v>0</v>
      </c>
      <c r="X19" s="4" t="str">
        <f t="shared" si="7"/>
        <v>26/10</v>
      </c>
      <c r="Y19" s="4">
        <f>SUM(D$12:D19)*$D$5/7</f>
        <v>24</v>
      </c>
      <c r="Z19" s="4">
        <f>SUM(D$12:D19)*$E$5/7</f>
        <v>40</v>
      </c>
      <c r="AA19" s="4" t="e">
        <f>IF(OR(B19&gt;$B$2,SUMPRODUCT(D$12:D19,U$12:U19)&gt;0),NA(),SUMPRODUCT(D$12:D19,AJ$12:AJ19))</f>
        <v>#N/A</v>
      </c>
      <c r="AB19" s="4" t="str">
        <f t="shared" si="8"/>
        <v>15/02</v>
      </c>
      <c r="AC19" s="4">
        <f>SUM(E$12:E35)*$D$6/7</f>
        <v>37.142857142857146</v>
      </c>
      <c r="AD19" s="4">
        <f>SUM(E$12:E35)*$E$6/7</f>
        <v>52</v>
      </c>
      <c r="AE19" s="4" t="e">
        <f>IF(OR(B35&gt;$B$2,SUMPRODUCT(E$12:E35,U$12:U35)&gt;0),NA(),SUMPRODUCT(E$12:E35,AJ$12:AJ35))</f>
        <v>#N/A</v>
      </c>
      <c r="AF19" s="4" t="str">
        <f t="shared" si="9"/>
        <v>17/05</v>
      </c>
      <c r="AG19" s="4">
        <f>SUM(F$12:F48)*$D$7/7</f>
        <v>53</v>
      </c>
      <c r="AH19" s="4">
        <f>SUM(F$12:F48)*$E$7/7</f>
        <v>68.142857142857139</v>
      </c>
      <c r="AI19" s="4" t="e">
        <f>IF(OR(B48&gt;$B$2,SUMPRODUCT(F$12:F48,U$12:U48)&gt;0),NA(),SUMPRODUCT(F$12:F48,AJ$12:AJ48))</f>
        <v>#N/A</v>
      </c>
      <c r="AJ19" s="4">
        <f t="shared" si="10"/>
        <v>0</v>
      </c>
      <c r="AK19" s="4" t="e">
        <f>IF(NOT(ISNUMBER(Ugeindtastning!I22)),NA(),Ugeindtastning!I22)</f>
        <v>#N/A</v>
      </c>
      <c r="AL19" s="4" t="e">
        <f t="shared" si="11"/>
        <v>#N/A</v>
      </c>
      <c r="AM19" s="4" t="e">
        <f t="shared" si="12"/>
        <v>#N/A</v>
      </c>
      <c r="AN19" s="4" t="e">
        <f t="shared" si="13"/>
        <v>#N/A</v>
      </c>
      <c r="AO19" s="4" t="e">
        <f t="shared" si="14"/>
        <v>#N/A</v>
      </c>
      <c r="AP19" s="4" t="e">
        <f t="shared" si="15"/>
        <v>#N/A</v>
      </c>
    </row>
    <row r="20" spans="1:42" s="5" customFormat="1" ht="23" customHeight="1">
      <c r="A20" s="6" t="str">
        <f>TEXT(Ugeindtastning!A23,"dd/mm")</f>
        <v>02/11</v>
      </c>
      <c r="B20" s="143">
        <f>Ugeindtastning!B23</f>
        <v>46334</v>
      </c>
      <c r="C20" s="142">
        <f>B20-Ugeindtastning!A23+1</f>
        <v>7</v>
      </c>
      <c r="D20" s="142">
        <f>MAX(0,MIN(B20,$C$5)-MAX(Ugeindtastning!A23,$B$5)+1)</f>
        <v>7</v>
      </c>
      <c r="E20" s="142">
        <f>MAX(0,MIN(B20,$C$6)-MAX(Ugeindtastning!A23,$B$6)+1)</f>
        <v>0</v>
      </c>
      <c r="F20" s="142">
        <f>MAX(0,MIN(B20,$C$7)-MAX(Ugeindtastning!A23,$B$7)+1)</f>
        <v>0</v>
      </c>
      <c r="G20" s="142">
        <f t="shared" si="0"/>
        <v>3</v>
      </c>
      <c r="H20" s="142">
        <f t="shared" si="1"/>
        <v>5</v>
      </c>
      <c r="I20" s="142" t="str">
        <f>IF(NOT(ISNUMBER(Ugeindtastning!D23)),"",Ugeindtastning!D23)</f>
        <v/>
      </c>
      <c r="J20" s="142">
        <f>SUM(G$12:G20)</f>
        <v>27</v>
      </c>
      <c r="K20" s="142">
        <f>SUM(H$12:H20)</f>
        <v>45</v>
      </c>
      <c r="L20" s="57" t="e">
        <f>IF(OR(B20&gt;$B$2,COUNT(I$12:I20)&lt;ROWS(I$12:I20)),NA(),SUM(I$12:I20))</f>
        <v>#N/A</v>
      </c>
      <c r="M20" s="4" t="e">
        <f>IF(NOT(ISNUMBER(Ugeindtastning!E23)),NA(),Ugeindtastning!E23)</f>
        <v>#N/A</v>
      </c>
      <c r="N20" s="4" t="e">
        <f>IF(NOT(ISNUMBER(Ugeindtastning!F23)),NA(),Ugeindtastning!F23)</f>
        <v>#N/A</v>
      </c>
      <c r="O20" s="4" t="str">
        <f>IF(Ugeindtastning!H23&lt;&gt;"",Ugeindtastning!H23,O19)</f>
        <v/>
      </c>
      <c r="P20" s="4" t="str">
        <f>IF(Ugeindtastning!G23&lt;&gt;"",Ugeindtastning!G23,P19)</f>
        <v/>
      </c>
      <c r="Q20" s="4" t="str">
        <f t="shared" si="2"/>
        <v/>
      </c>
      <c r="R20" s="4" t="str">
        <f>IF(OR(NOT(ISNUMBER(Ugeindtastning!I23)),P20="",P20&lt;=0),"",Ugeindtastning!I23/P20)</f>
        <v/>
      </c>
      <c r="S20" s="4" t="str">
        <f>IF(OR(Ugeindtastning!J23="",Ugeindtastning!$B$6="",Ugeindtastning!$B$6&lt;=0),"",Ugeindtastning!J23/Ugeindtastning!$B$6)</f>
        <v/>
      </c>
      <c r="T20" s="4" t="str">
        <f t="shared" si="3"/>
        <v/>
      </c>
      <c r="U20" s="4">
        <f t="shared" si="4"/>
        <v>0</v>
      </c>
      <c r="V20" s="4" t="str">
        <f t="shared" si="5"/>
        <v>Ikke registreret</v>
      </c>
      <c r="W20" s="4">
        <f t="shared" si="6"/>
        <v>0</v>
      </c>
      <c r="X20" s="4" t="str">
        <f t="shared" si="7"/>
        <v>02/11</v>
      </c>
      <c r="Y20" s="4">
        <f>SUM(D$12:D20)*$D$5/7</f>
        <v>27</v>
      </c>
      <c r="Z20" s="4">
        <f>SUM(D$12:D20)*$E$5/7</f>
        <v>45</v>
      </c>
      <c r="AA20" s="4" t="e">
        <f>IF(OR(B20&gt;$B$2,SUMPRODUCT(D$12:D20,U$12:U20)&gt;0),NA(),SUMPRODUCT(D$12:D20,AJ$12:AJ20))</f>
        <v>#N/A</v>
      </c>
      <c r="AB20" s="4" t="str">
        <f t="shared" si="8"/>
        <v>22/02</v>
      </c>
      <c r="AC20" s="4">
        <f>SUM(E$12:E36)*$D$6/7</f>
        <v>42.142857142857146</v>
      </c>
      <c r="AD20" s="4">
        <f>SUM(E$12:E36)*$E$6/7</f>
        <v>59</v>
      </c>
      <c r="AE20" s="4" t="e">
        <f>IF(OR(B36&gt;$B$2,SUMPRODUCT(E$12:E36,U$12:U36)&gt;0),NA(),SUMPRODUCT(E$12:E36,AJ$12:AJ36))</f>
        <v>#N/A</v>
      </c>
      <c r="AF20" s="4" t="str">
        <f t="shared" si="9"/>
        <v>24/05</v>
      </c>
      <c r="AG20" s="4">
        <f>SUM(F$12:F49)*$D$7/7</f>
        <v>60</v>
      </c>
      <c r="AH20" s="4">
        <f>SUM(F$12:F49)*$E$7/7</f>
        <v>77.142857142857139</v>
      </c>
      <c r="AI20" s="4" t="e">
        <f>IF(OR(B49&gt;$B$2,SUMPRODUCT(F$12:F49,U$12:U49)&gt;0),NA(),SUMPRODUCT(F$12:F49,AJ$12:AJ49))</f>
        <v>#N/A</v>
      </c>
      <c r="AJ20" s="4">
        <f t="shared" si="10"/>
        <v>0</v>
      </c>
      <c r="AK20" s="4" t="e">
        <f>IF(NOT(ISNUMBER(Ugeindtastning!I23)),NA(),Ugeindtastning!I23)</f>
        <v>#N/A</v>
      </c>
      <c r="AL20" s="4" t="e">
        <f t="shared" si="11"/>
        <v>#N/A</v>
      </c>
      <c r="AM20" s="4" t="e">
        <f t="shared" si="12"/>
        <v>#N/A</v>
      </c>
      <c r="AN20" s="4" t="e">
        <f t="shared" si="13"/>
        <v>#N/A</v>
      </c>
      <c r="AO20" s="4" t="e">
        <f t="shared" si="14"/>
        <v>#N/A</v>
      </c>
      <c r="AP20" s="4" t="e">
        <f t="shared" si="15"/>
        <v>#N/A</v>
      </c>
    </row>
    <row r="21" spans="1:42" s="5" customFormat="1" ht="23" customHeight="1">
      <c r="A21" s="6" t="str">
        <f>TEXT(Ugeindtastning!A24,"dd/mm")</f>
        <v>09/11</v>
      </c>
      <c r="B21" s="143">
        <f>Ugeindtastning!B24</f>
        <v>46341</v>
      </c>
      <c r="C21" s="142">
        <f>B21-Ugeindtastning!A24+1</f>
        <v>7</v>
      </c>
      <c r="D21" s="142">
        <f>MAX(0,MIN(B21,$C$5)-MAX(Ugeindtastning!A24,$B$5)+1)</f>
        <v>7</v>
      </c>
      <c r="E21" s="142">
        <f>MAX(0,MIN(B21,$C$6)-MAX(Ugeindtastning!A24,$B$6)+1)</f>
        <v>0</v>
      </c>
      <c r="F21" s="142">
        <f>MAX(0,MIN(B21,$C$7)-MAX(Ugeindtastning!A24,$B$7)+1)</f>
        <v>0</v>
      </c>
      <c r="G21" s="142">
        <f t="shared" si="0"/>
        <v>3</v>
      </c>
      <c r="H21" s="142">
        <f t="shared" si="1"/>
        <v>5</v>
      </c>
      <c r="I21" s="142" t="str">
        <f>IF(NOT(ISNUMBER(Ugeindtastning!D24)),"",Ugeindtastning!D24)</f>
        <v/>
      </c>
      <c r="J21" s="142">
        <f>SUM(G$12:G21)</f>
        <v>30</v>
      </c>
      <c r="K21" s="142">
        <f>SUM(H$12:H21)</f>
        <v>50</v>
      </c>
      <c r="L21" s="57" t="e">
        <f>IF(OR(B21&gt;$B$2,COUNT(I$12:I21)&lt;ROWS(I$12:I21)),NA(),SUM(I$12:I21))</f>
        <v>#N/A</v>
      </c>
      <c r="M21" s="4" t="e">
        <f>IF(NOT(ISNUMBER(Ugeindtastning!E24)),NA(),Ugeindtastning!E24)</f>
        <v>#N/A</v>
      </c>
      <c r="N21" s="4" t="e">
        <f>IF(NOT(ISNUMBER(Ugeindtastning!F24)),NA(),Ugeindtastning!F24)</f>
        <v>#N/A</v>
      </c>
      <c r="O21" s="4" t="str">
        <f>IF(Ugeindtastning!H24&lt;&gt;"",Ugeindtastning!H24,O20)</f>
        <v/>
      </c>
      <c r="P21" s="4" t="str">
        <f>IF(Ugeindtastning!G24&lt;&gt;"",Ugeindtastning!G24,P20)</f>
        <v/>
      </c>
      <c r="Q21" s="4" t="str">
        <f t="shared" si="2"/>
        <v/>
      </c>
      <c r="R21" s="4" t="str">
        <f>IF(OR(NOT(ISNUMBER(Ugeindtastning!I24)),P21="",P21&lt;=0),"",Ugeindtastning!I24/P21)</f>
        <v/>
      </c>
      <c r="S21" s="4" t="str">
        <f>IF(OR(Ugeindtastning!J24="",Ugeindtastning!$B$6="",Ugeindtastning!$B$6&lt;=0),"",Ugeindtastning!J24/Ugeindtastning!$B$6)</f>
        <v/>
      </c>
      <c r="T21" s="4" t="str">
        <f t="shared" si="3"/>
        <v/>
      </c>
      <c r="U21" s="4">
        <f t="shared" si="4"/>
        <v>0</v>
      </c>
      <c r="V21" s="4" t="str">
        <f t="shared" si="5"/>
        <v>Ikke registreret</v>
      </c>
      <c r="W21" s="4">
        <f t="shared" si="6"/>
        <v>0</v>
      </c>
      <c r="X21" s="4" t="str">
        <f t="shared" si="7"/>
        <v>09/11</v>
      </c>
      <c r="Y21" s="4">
        <f>SUM(D$12:D21)*$D$5/7</f>
        <v>30</v>
      </c>
      <c r="Z21" s="4">
        <f>SUM(D$12:D21)*$E$5/7</f>
        <v>50</v>
      </c>
      <c r="AA21" s="4" t="e">
        <f>IF(OR(B21&gt;$B$2,SUMPRODUCT(D$12:D21,U$12:U21)&gt;0),NA(),SUMPRODUCT(D$12:D21,AJ$12:AJ21))</f>
        <v>#N/A</v>
      </c>
      <c r="AB21" s="4" t="str">
        <f t="shared" si="8"/>
        <v>01/03</v>
      </c>
      <c r="AC21" s="4">
        <f>SUM(E$12:E37)*$D$6/7</f>
        <v>47.142857142857146</v>
      </c>
      <c r="AD21" s="4">
        <f>SUM(E$12:E37)*$E$6/7</f>
        <v>66</v>
      </c>
      <c r="AE21" s="4" t="e">
        <f>IF(OR(B37&gt;$B$2,SUMPRODUCT(E$12:E37,U$12:U37)&gt;0),NA(),SUMPRODUCT(E$12:E37,AJ$12:AJ37))</f>
        <v>#N/A</v>
      </c>
      <c r="AF21" s="4" t="str">
        <f t="shared" si="9"/>
        <v>31/05</v>
      </c>
      <c r="AG21" s="4">
        <f>SUM(F$12:F50)*$D$7/7</f>
        <v>67</v>
      </c>
      <c r="AH21" s="4">
        <f>SUM(F$12:F50)*$E$7/7</f>
        <v>86.142857142857139</v>
      </c>
      <c r="AI21" s="4" t="e">
        <f>IF(OR(B50&gt;$B$2,SUMPRODUCT(F$12:F50,U$12:U50)&gt;0),NA(),SUMPRODUCT(F$12:F50,AJ$12:AJ50))</f>
        <v>#N/A</v>
      </c>
      <c r="AJ21" s="4">
        <f t="shared" si="10"/>
        <v>0</v>
      </c>
      <c r="AK21" s="4" t="e">
        <f>IF(NOT(ISNUMBER(Ugeindtastning!I24)),NA(),Ugeindtastning!I24)</f>
        <v>#N/A</v>
      </c>
      <c r="AL21" s="4" t="e">
        <f t="shared" si="11"/>
        <v>#N/A</v>
      </c>
      <c r="AM21" s="4" t="e">
        <f t="shared" si="12"/>
        <v>#N/A</v>
      </c>
      <c r="AN21" s="4" t="e">
        <f t="shared" si="13"/>
        <v>#N/A</v>
      </c>
      <c r="AO21" s="4" t="e">
        <f t="shared" si="14"/>
        <v>#N/A</v>
      </c>
      <c r="AP21" s="4" t="e">
        <f t="shared" si="15"/>
        <v>#N/A</v>
      </c>
    </row>
    <row r="22" spans="1:42" s="5" customFormat="1" ht="23" customHeight="1">
      <c r="A22" s="6" t="str">
        <f>TEXT(Ugeindtastning!A25,"dd/mm")</f>
        <v>16/11</v>
      </c>
      <c r="B22" s="143">
        <f>Ugeindtastning!B25</f>
        <v>46348</v>
      </c>
      <c r="C22" s="142">
        <f>B22-Ugeindtastning!A25+1</f>
        <v>7</v>
      </c>
      <c r="D22" s="142">
        <f>MAX(0,MIN(B22,$C$5)-MAX(Ugeindtastning!A25,$B$5)+1)</f>
        <v>7</v>
      </c>
      <c r="E22" s="142">
        <f>MAX(0,MIN(B22,$C$6)-MAX(Ugeindtastning!A25,$B$6)+1)</f>
        <v>0</v>
      </c>
      <c r="F22" s="142">
        <f>MAX(0,MIN(B22,$C$7)-MAX(Ugeindtastning!A25,$B$7)+1)</f>
        <v>0</v>
      </c>
      <c r="G22" s="142">
        <f t="shared" si="0"/>
        <v>3</v>
      </c>
      <c r="H22" s="142">
        <f t="shared" si="1"/>
        <v>5</v>
      </c>
      <c r="I22" s="142" t="str">
        <f>IF(NOT(ISNUMBER(Ugeindtastning!D25)),"",Ugeindtastning!D25)</f>
        <v/>
      </c>
      <c r="J22" s="142">
        <f>SUM(G$12:G22)</f>
        <v>33</v>
      </c>
      <c r="K22" s="142">
        <f>SUM(H$12:H22)</f>
        <v>55</v>
      </c>
      <c r="L22" s="57" t="e">
        <f>IF(OR(B22&gt;$B$2,COUNT(I$12:I22)&lt;ROWS(I$12:I22)),NA(),SUM(I$12:I22))</f>
        <v>#N/A</v>
      </c>
      <c r="M22" s="4" t="e">
        <f>IF(NOT(ISNUMBER(Ugeindtastning!E25)),NA(),Ugeindtastning!E25)</f>
        <v>#N/A</v>
      </c>
      <c r="N22" s="4" t="e">
        <f>IF(NOT(ISNUMBER(Ugeindtastning!F25)),NA(),Ugeindtastning!F25)</f>
        <v>#N/A</v>
      </c>
      <c r="O22" s="4" t="str">
        <f>IF(Ugeindtastning!H25&lt;&gt;"",Ugeindtastning!H25,O21)</f>
        <v/>
      </c>
      <c r="P22" s="4" t="str">
        <f>IF(Ugeindtastning!G25&lt;&gt;"",Ugeindtastning!G25,P21)</f>
        <v/>
      </c>
      <c r="Q22" s="4" t="str">
        <f t="shared" si="2"/>
        <v/>
      </c>
      <c r="R22" s="4" t="str">
        <f>IF(OR(NOT(ISNUMBER(Ugeindtastning!I25)),P22="",P22&lt;=0),"",Ugeindtastning!I25/P22)</f>
        <v/>
      </c>
      <c r="S22" s="4" t="str">
        <f>IF(OR(Ugeindtastning!J25="",Ugeindtastning!$B$6="",Ugeindtastning!$B$6&lt;=0),"",Ugeindtastning!J25/Ugeindtastning!$B$6)</f>
        <v/>
      </c>
      <c r="T22" s="4" t="str">
        <f t="shared" si="3"/>
        <v/>
      </c>
      <c r="U22" s="4">
        <f t="shared" si="4"/>
        <v>0</v>
      </c>
      <c r="V22" s="4" t="str">
        <f t="shared" si="5"/>
        <v>Ikke registreret</v>
      </c>
      <c r="W22" s="4">
        <f t="shared" si="6"/>
        <v>0</v>
      </c>
      <c r="X22" s="4" t="str">
        <f t="shared" si="7"/>
        <v>16/11</v>
      </c>
      <c r="Y22" s="4">
        <f>SUM(D$12:D22)*$D$5/7</f>
        <v>33</v>
      </c>
      <c r="Z22" s="4">
        <f>SUM(D$12:D22)*$E$5/7</f>
        <v>55</v>
      </c>
      <c r="AA22" s="4" t="e">
        <f>IF(OR(B22&gt;$B$2,SUMPRODUCT(D$12:D22,U$12:U22)&gt;0),NA(),SUMPRODUCT(D$12:D22,AJ$12:AJ22))</f>
        <v>#N/A</v>
      </c>
      <c r="AB22" s="4" t="str">
        <f t="shared" si="8"/>
        <v>08/03</v>
      </c>
      <c r="AC22" s="4">
        <f>SUM(E$12:E38)*$D$6/7</f>
        <v>52.142857142857146</v>
      </c>
      <c r="AD22" s="4">
        <f>SUM(E$12:E38)*$E$6/7</f>
        <v>73</v>
      </c>
      <c r="AE22" s="4" t="e">
        <f>IF(OR(B38&gt;$B$2,SUMPRODUCT(E$12:E38,U$12:U38)&gt;0),NA(),SUMPRODUCT(E$12:E38,AJ$12:AJ38))</f>
        <v>#N/A</v>
      </c>
      <c r="AF22" s="4" t="str">
        <f t="shared" si="9"/>
        <v>07/06</v>
      </c>
      <c r="AG22" s="4">
        <f>SUM(F$12:F51)*$D$7/7</f>
        <v>69</v>
      </c>
      <c r="AH22" s="4">
        <f>SUM(F$12:F51)*$E$7/7</f>
        <v>88.714285714285708</v>
      </c>
      <c r="AI22" s="4" t="e">
        <f>IF(OR(B51&gt;$B$2,SUMPRODUCT(F$12:F51,U$12:U51)&gt;0),NA(),SUMPRODUCT(F$12:F51,AJ$12:AJ51))</f>
        <v>#N/A</v>
      </c>
      <c r="AJ22" s="4">
        <f t="shared" si="10"/>
        <v>0</v>
      </c>
      <c r="AK22" s="4" t="e">
        <f>IF(NOT(ISNUMBER(Ugeindtastning!I25)),NA(),Ugeindtastning!I25)</f>
        <v>#N/A</v>
      </c>
      <c r="AL22" s="4" t="e">
        <f t="shared" si="11"/>
        <v>#N/A</v>
      </c>
      <c r="AM22" s="4" t="e">
        <f t="shared" si="12"/>
        <v>#N/A</v>
      </c>
      <c r="AN22" s="4" t="e">
        <f t="shared" si="13"/>
        <v>#N/A</v>
      </c>
      <c r="AO22" s="4" t="e">
        <f t="shared" si="14"/>
        <v>#N/A</v>
      </c>
      <c r="AP22" s="4" t="e">
        <f t="shared" si="15"/>
        <v>#N/A</v>
      </c>
    </row>
    <row r="23" spans="1:42" s="5" customFormat="1" ht="23" customHeight="1">
      <c r="A23" s="6" t="str">
        <f>TEXT(Ugeindtastning!A26,"dd/mm")</f>
        <v>23/11</v>
      </c>
      <c r="B23" s="143">
        <f>Ugeindtastning!B26</f>
        <v>46355</v>
      </c>
      <c r="C23" s="142">
        <f>B23-Ugeindtastning!A26+1</f>
        <v>7</v>
      </c>
      <c r="D23" s="142">
        <f>MAX(0,MIN(B23,$C$5)-MAX(Ugeindtastning!A26,$B$5)+1)</f>
        <v>7</v>
      </c>
      <c r="E23" s="142">
        <f>MAX(0,MIN(B23,$C$6)-MAX(Ugeindtastning!A26,$B$6)+1)</f>
        <v>0</v>
      </c>
      <c r="F23" s="142">
        <f>MAX(0,MIN(B23,$C$7)-MAX(Ugeindtastning!A26,$B$7)+1)</f>
        <v>0</v>
      </c>
      <c r="G23" s="142">
        <f t="shared" si="0"/>
        <v>3</v>
      </c>
      <c r="H23" s="142">
        <f t="shared" si="1"/>
        <v>5</v>
      </c>
      <c r="I23" s="142" t="str">
        <f>IF(NOT(ISNUMBER(Ugeindtastning!D26)),"",Ugeindtastning!D26)</f>
        <v/>
      </c>
      <c r="J23" s="142">
        <f>SUM(G$12:G23)</f>
        <v>36</v>
      </c>
      <c r="K23" s="142">
        <f>SUM(H$12:H23)</f>
        <v>60</v>
      </c>
      <c r="L23" s="57" t="e">
        <f>IF(OR(B23&gt;$B$2,COUNT(I$12:I23)&lt;ROWS(I$12:I23)),NA(),SUM(I$12:I23))</f>
        <v>#N/A</v>
      </c>
      <c r="M23" s="4" t="e">
        <f>IF(NOT(ISNUMBER(Ugeindtastning!E26)),NA(),Ugeindtastning!E26)</f>
        <v>#N/A</v>
      </c>
      <c r="N23" s="4" t="e">
        <f>IF(NOT(ISNUMBER(Ugeindtastning!F26)),NA(),Ugeindtastning!F26)</f>
        <v>#N/A</v>
      </c>
      <c r="O23" s="4" t="str">
        <f>IF(Ugeindtastning!H26&lt;&gt;"",Ugeindtastning!H26,O22)</f>
        <v/>
      </c>
      <c r="P23" s="4" t="str">
        <f>IF(Ugeindtastning!G26&lt;&gt;"",Ugeindtastning!G26,P22)</f>
        <v/>
      </c>
      <c r="Q23" s="4" t="str">
        <f t="shared" si="2"/>
        <v/>
      </c>
      <c r="R23" s="4" t="str">
        <f>IF(OR(NOT(ISNUMBER(Ugeindtastning!I26)),P23="",P23&lt;=0),"",Ugeindtastning!I26/P23)</f>
        <v/>
      </c>
      <c r="S23" s="4" t="str">
        <f>IF(OR(Ugeindtastning!J26="",Ugeindtastning!$B$6="",Ugeindtastning!$B$6&lt;=0),"",Ugeindtastning!J26/Ugeindtastning!$B$6)</f>
        <v/>
      </c>
      <c r="T23" s="4" t="str">
        <f t="shared" si="3"/>
        <v/>
      </c>
      <c r="U23" s="4">
        <f t="shared" si="4"/>
        <v>0</v>
      </c>
      <c r="V23" s="4" t="str">
        <f t="shared" si="5"/>
        <v>Ikke registreret</v>
      </c>
      <c r="W23" s="4">
        <f t="shared" si="6"/>
        <v>0</v>
      </c>
      <c r="X23" s="4" t="str">
        <f t="shared" si="7"/>
        <v>23/11</v>
      </c>
      <c r="Y23" s="4">
        <f>SUM(D$12:D23)*$D$5/7</f>
        <v>36</v>
      </c>
      <c r="Z23" s="4">
        <f>SUM(D$12:D23)*$E$5/7</f>
        <v>60</v>
      </c>
      <c r="AA23" s="4" t="e">
        <f>IF(OR(B23&gt;$B$2,SUMPRODUCT(D$12:D23,U$12:U23)&gt;0),NA(),SUMPRODUCT(D$12:D23,AJ$12:AJ23))</f>
        <v>#N/A</v>
      </c>
      <c r="AB23" s="4" t="str">
        <f t="shared" si="8"/>
        <v>15/03</v>
      </c>
      <c r="AC23" s="4">
        <f>SUM(E$12:E39)*$D$6/7</f>
        <v>57.142857142857146</v>
      </c>
      <c r="AD23" s="4">
        <f>SUM(E$12:E39)*$E$6/7</f>
        <v>80</v>
      </c>
      <c r="AE23" s="4" t="e">
        <f>IF(OR(B39&gt;$B$2,SUMPRODUCT(E$12:E39,U$12:U39)&gt;0),NA(),SUMPRODUCT(E$12:E39,AJ$12:AJ39))</f>
        <v>#N/A</v>
      </c>
      <c r="AF23" s="4"/>
      <c r="AG23" s="4"/>
      <c r="AH23" s="4"/>
      <c r="AI23" s="4"/>
      <c r="AJ23" s="4">
        <f t="shared" si="10"/>
        <v>0</v>
      </c>
      <c r="AK23" s="4" t="e">
        <f>IF(NOT(ISNUMBER(Ugeindtastning!I26)),NA(),Ugeindtastning!I26)</f>
        <v>#N/A</v>
      </c>
      <c r="AL23" s="4" t="e">
        <f t="shared" si="11"/>
        <v>#N/A</v>
      </c>
      <c r="AM23" s="4" t="e">
        <f t="shared" si="12"/>
        <v>#N/A</v>
      </c>
      <c r="AN23" s="4" t="e">
        <f t="shared" si="13"/>
        <v>#N/A</v>
      </c>
      <c r="AO23" s="4" t="e">
        <f t="shared" si="14"/>
        <v>#N/A</v>
      </c>
      <c r="AP23" s="4" t="e">
        <f t="shared" si="15"/>
        <v>#N/A</v>
      </c>
    </row>
    <row r="24" spans="1:42" s="5" customFormat="1" ht="23" customHeight="1">
      <c r="A24" s="6" t="str">
        <f>TEXT(Ugeindtastning!A27,"dd/mm")</f>
        <v>30/11</v>
      </c>
      <c r="B24" s="143">
        <f>Ugeindtastning!B27</f>
        <v>46362</v>
      </c>
      <c r="C24" s="142">
        <f>B24-Ugeindtastning!A27+1</f>
        <v>7</v>
      </c>
      <c r="D24" s="142">
        <f>MAX(0,MIN(B24,$C$5)-MAX(Ugeindtastning!A27,$B$5)+1)</f>
        <v>7</v>
      </c>
      <c r="E24" s="142">
        <f>MAX(0,MIN(B24,$C$6)-MAX(Ugeindtastning!A27,$B$6)+1)</f>
        <v>0</v>
      </c>
      <c r="F24" s="142">
        <f>MAX(0,MIN(B24,$C$7)-MAX(Ugeindtastning!A27,$B$7)+1)</f>
        <v>0</v>
      </c>
      <c r="G24" s="142">
        <f t="shared" si="0"/>
        <v>3</v>
      </c>
      <c r="H24" s="142">
        <f t="shared" si="1"/>
        <v>5</v>
      </c>
      <c r="I24" s="142" t="str">
        <f>IF(NOT(ISNUMBER(Ugeindtastning!D27)),"",Ugeindtastning!D27)</f>
        <v/>
      </c>
      <c r="J24" s="142">
        <f>SUM(G$12:G24)</f>
        <v>39</v>
      </c>
      <c r="K24" s="142">
        <f>SUM(H$12:H24)</f>
        <v>65</v>
      </c>
      <c r="L24" s="57" t="e">
        <f>IF(OR(B24&gt;$B$2,COUNT(I$12:I24)&lt;ROWS(I$12:I24)),NA(),SUM(I$12:I24))</f>
        <v>#N/A</v>
      </c>
      <c r="M24" s="4" t="e">
        <f>IF(NOT(ISNUMBER(Ugeindtastning!E27)),NA(),Ugeindtastning!E27)</f>
        <v>#N/A</v>
      </c>
      <c r="N24" s="4" t="e">
        <f>IF(NOT(ISNUMBER(Ugeindtastning!F27)),NA(),Ugeindtastning!F27)</f>
        <v>#N/A</v>
      </c>
      <c r="O24" s="4" t="str">
        <f>IF(Ugeindtastning!H27&lt;&gt;"",Ugeindtastning!H27,O23)</f>
        <v/>
      </c>
      <c r="P24" s="4" t="str">
        <f>IF(Ugeindtastning!G27&lt;&gt;"",Ugeindtastning!G27,P23)</f>
        <v/>
      </c>
      <c r="Q24" s="4" t="str">
        <f t="shared" si="2"/>
        <v/>
      </c>
      <c r="R24" s="4" t="str">
        <f>IF(OR(NOT(ISNUMBER(Ugeindtastning!I27)),P24="",P24&lt;=0),"",Ugeindtastning!I27/P24)</f>
        <v/>
      </c>
      <c r="S24" s="4" t="str">
        <f>IF(OR(Ugeindtastning!J27="",Ugeindtastning!$B$6="",Ugeindtastning!$B$6&lt;=0),"",Ugeindtastning!J27/Ugeindtastning!$B$6)</f>
        <v/>
      </c>
      <c r="T24" s="4" t="str">
        <f t="shared" si="3"/>
        <v/>
      </c>
      <c r="U24" s="4">
        <f t="shared" si="4"/>
        <v>0</v>
      </c>
      <c r="V24" s="4" t="str">
        <f t="shared" si="5"/>
        <v>Ikke registreret</v>
      </c>
      <c r="W24" s="4">
        <f t="shared" si="6"/>
        <v>0</v>
      </c>
      <c r="X24" s="4" t="str">
        <f t="shared" si="7"/>
        <v>30/11</v>
      </c>
      <c r="Y24" s="4">
        <f>SUM(D$12:D24)*$D$5/7</f>
        <v>39</v>
      </c>
      <c r="Z24" s="4">
        <f>SUM(D$12:D24)*$E$5/7</f>
        <v>65</v>
      </c>
      <c r="AA24" s="4" t="e">
        <f>IF(OR(B24&gt;$B$2,SUMPRODUCT(D$12:D24,U$12:U24)&gt;0),NA(),SUMPRODUCT(D$12:D24,AJ$12:AJ24))</f>
        <v>#N/A</v>
      </c>
      <c r="AB24" s="4" t="str">
        <f t="shared" si="8"/>
        <v>22/03</v>
      </c>
      <c r="AC24" s="4">
        <f>SUM(E$12:E40)*$D$6/7</f>
        <v>62.142857142857146</v>
      </c>
      <c r="AD24" s="4">
        <f>SUM(E$12:E40)*$E$6/7</f>
        <v>87</v>
      </c>
      <c r="AE24" s="4" t="e">
        <f>IF(OR(B40&gt;$B$2,SUMPRODUCT(E$12:E40,U$12:U40)&gt;0),NA(),SUMPRODUCT(E$12:E40,AJ$12:AJ40))</f>
        <v>#N/A</v>
      </c>
      <c r="AF24" s="4"/>
      <c r="AG24" s="4"/>
      <c r="AH24" s="4"/>
      <c r="AI24" s="4"/>
      <c r="AJ24" s="4">
        <f t="shared" si="10"/>
        <v>0</v>
      </c>
      <c r="AK24" s="4" t="e">
        <f>IF(NOT(ISNUMBER(Ugeindtastning!I27)),NA(),Ugeindtastning!I27)</f>
        <v>#N/A</v>
      </c>
      <c r="AL24" s="4" t="e">
        <f t="shared" si="11"/>
        <v>#N/A</v>
      </c>
      <c r="AM24" s="4" t="e">
        <f t="shared" si="12"/>
        <v>#N/A</v>
      </c>
      <c r="AN24" s="4" t="e">
        <f t="shared" si="13"/>
        <v>#N/A</v>
      </c>
      <c r="AO24" s="4" t="e">
        <f t="shared" si="14"/>
        <v>#N/A</v>
      </c>
      <c r="AP24" s="4" t="e">
        <f t="shared" si="15"/>
        <v>#N/A</v>
      </c>
    </row>
    <row r="25" spans="1:42" s="5" customFormat="1" ht="23" customHeight="1">
      <c r="A25" s="6" t="str">
        <f>TEXT(Ugeindtastning!A28,"dd/mm")</f>
        <v>07/12</v>
      </c>
      <c r="B25" s="143">
        <f>Ugeindtastning!B28</f>
        <v>46369</v>
      </c>
      <c r="C25" s="142">
        <f>B25-Ugeindtastning!A28+1</f>
        <v>7</v>
      </c>
      <c r="D25" s="142">
        <f>MAX(0,MIN(B25,$C$5)-MAX(Ugeindtastning!A28,$B$5)+1)</f>
        <v>7</v>
      </c>
      <c r="E25" s="142">
        <f>MAX(0,MIN(B25,$C$6)-MAX(Ugeindtastning!A28,$B$6)+1)</f>
        <v>0</v>
      </c>
      <c r="F25" s="142">
        <f>MAX(0,MIN(B25,$C$7)-MAX(Ugeindtastning!A28,$B$7)+1)</f>
        <v>0</v>
      </c>
      <c r="G25" s="142">
        <f t="shared" si="0"/>
        <v>3</v>
      </c>
      <c r="H25" s="142">
        <f t="shared" si="1"/>
        <v>5</v>
      </c>
      <c r="I25" s="142" t="str">
        <f>IF(NOT(ISNUMBER(Ugeindtastning!D28)),"",Ugeindtastning!D28)</f>
        <v/>
      </c>
      <c r="J25" s="142">
        <f>SUM(G$12:G25)</f>
        <v>42</v>
      </c>
      <c r="K25" s="142">
        <f>SUM(H$12:H25)</f>
        <v>70</v>
      </c>
      <c r="L25" s="57" t="e">
        <f>IF(OR(B25&gt;$B$2,COUNT(I$12:I25)&lt;ROWS(I$12:I25)),NA(),SUM(I$12:I25))</f>
        <v>#N/A</v>
      </c>
      <c r="M25" s="4" t="e">
        <f>IF(NOT(ISNUMBER(Ugeindtastning!E28)),NA(),Ugeindtastning!E28)</f>
        <v>#N/A</v>
      </c>
      <c r="N25" s="4" t="e">
        <f>IF(NOT(ISNUMBER(Ugeindtastning!F28)),NA(),Ugeindtastning!F28)</f>
        <v>#N/A</v>
      </c>
      <c r="O25" s="4" t="str">
        <f>IF(Ugeindtastning!H28&lt;&gt;"",Ugeindtastning!H28,O24)</f>
        <v/>
      </c>
      <c r="P25" s="4" t="str">
        <f>IF(Ugeindtastning!G28&lt;&gt;"",Ugeindtastning!G28,P24)</f>
        <v/>
      </c>
      <c r="Q25" s="4" t="str">
        <f t="shared" si="2"/>
        <v/>
      </c>
      <c r="R25" s="4" t="str">
        <f>IF(OR(NOT(ISNUMBER(Ugeindtastning!I28)),P25="",P25&lt;=0),"",Ugeindtastning!I28/P25)</f>
        <v/>
      </c>
      <c r="S25" s="4" t="str">
        <f>IF(OR(Ugeindtastning!J28="",Ugeindtastning!$B$6="",Ugeindtastning!$B$6&lt;=0),"",Ugeindtastning!J28/Ugeindtastning!$B$6)</f>
        <v/>
      </c>
      <c r="T25" s="4" t="str">
        <f t="shared" si="3"/>
        <v/>
      </c>
      <c r="U25" s="4">
        <f t="shared" si="4"/>
        <v>0</v>
      </c>
      <c r="V25" s="4" t="str">
        <f t="shared" si="5"/>
        <v>Ikke registreret</v>
      </c>
      <c r="W25" s="4">
        <f t="shared" si="6"/>
        <v>0</v>
      </c>
      <c r="X25" s="4" t="str">
        <f t="shared" si="7"/>
        <v>07/12</v>
      </c>
      <c r="Y25" s="4">
        <f>SUM(D$12:D25)*$D$5/7</f>
        <v>42</v>
      </c>
      <c r="Z25" s="4">
        <f>SUM(D$12:D25)*$E$5/7</f>
        <v>70</v>
      </c>
      <c r="AA25" s="4" t="e">
        <f>IF(OR(B25&gt;$B$2,SUMPRODUCT(D$12:D25,U$12:U25)&gt;0),NA(),SUMPRODUCT(D$12:D25,AJ$12:AJ25))</f>
        <v>#N/A</v>
      </c>
      <c r="AB25" s="4" t="str">
        <f t="shared" si="8"/>
        <v>29/03</v>
      </c>
      <c r="AC25" s="4">
        <f>SUM(E$12:E41)*$D$6/7</f>
        <v>64.285714285714292</v>
      </c>
      <c r="AD25" s="4">
        <f>SUM(E$12:E41)*$E$6/7</f>
        <v>90</v>
      </c>
      <c r="AE25" s="4" t="e">
        <f>IF(OR(B41&gt;$B$2,SUMPRODUCT(E$12:E41,U$12:U41)&gt;0),NA(),SUMPRODUCT(E$12:E41,AJ$12:AJ41))</f>
        <v>#N/A</v>
      </c>
      <c r="AF25" s="4"/>
      <c r="AG25" s="4"/>
      <c r="AH25" s="4"/>
      <c r="AI25" s="4"/>
      <c r="AJ25" s="4">
        <f t="shared" si="10"/>
        <v>0</v>
      </c>
      <c r="AK25" s="4" t="e">
        <f>IF(NOT(ISNUMBER(Ugeindtastning!I28)),NA(),Ugeindtastning!I28)</f>
        <v>#N/A</v>
      </c>
      <c r="AL25" s="4" t="e">
        <f t="shared" si="11"/>
        <v>#N/A</v>
      </c>
      <c r="AM25" s="4" t="e">
        <f t="shared" si="12"/>
        <v>#N/A</v>
      </c>
      <c r="AN25" s="4" t="e">
        <f t="shared" si="13"/>
        <v>#N/A</v>
      </c>
      <c r="AO25" s="4" t="e">
        <f t="shared" si="14"/>
        <v>#N/A</v>
      </c>
      <c r="AP25" s="4" t="e">
        <f t="shared" si="15"/>
        <v>#N/A</v>
      </c>
    </row>
    <row r="26" spans="1:42" s="5" customFormat="1" ht="23" customHeight="1">
      <c r="A26" s="6" t="str">
        <f>TEXT(Ugeindtastning!A29,"dd/mm")</f>
        <v>14/12</v>
      </c>
      <c r="B26" s="143">
        <f>Ugeindtastning!B29</f>
        <v>46376</v>
      </c>
      <c r="C26" s="142">
        <f>B26-Ugeindtastning!A29+1</f>
        <v>7</v>
      </c>
      <c r="D26" s="142">
        <f>MAX(0,MIN(B26,$C$5)-MAX(Ugeindtastning!A29,$B$5)+1)</f>
        <v>7</v>
      </c>
      <c r="E26" s="142">
        <f>MAX(0,MIN(B26,$C$6)-MAX(Ugeindtastning!A29,$B$6)+1)</f>
        <v>0</v>
      </c>
      <c r="F26" s="142">
        <f>MAX(0,MIN(B26,$C$7)-MAX(Ugeindtastning!A29,$B$7)+1)</f>
        <v>0</v>
      </c>
      <c r="G26" s="142">
        <f t="shared" si="0"/>
        <v>3</v>
      </c>
      <c r="H26" s="142">
        <f t="shared" si="1"/>
        <v>5</v>
      </c>
      <c r="I26" s="142" t="str">
        <f>IF(NOT(ISNUMBER(Ugeindtastning!D29)),"",Ugeindtastning!D29)</f>
        <v/>
      </c>
      <c r="J26" s="142">
        <f>SUM(G$12:G26)</f>
        <v>45</v>
      </c>
      <c r="K26" s="142">
        <f>SUM(H$12:H26)</f>
        <v>75</v>
      </c>
      <c r="L26" s="57" t="e">
        <f>IF(OR(B26&gt;$B$2,COUNT(I$12:I26)&lt;ROWS(I$12:I26)),NA(),SUM(I$12:I26))</f>
        <v>#N/A</v>
      </c>
      <c r="M26" s="4" t="e">
        <f>IF(NOT(ISNUMBER(Ugeindtastning!E29)),NA(),Ugeindtastning!E29)</f>
        <v>#N/A</v>
      </c>
      <c r="N26" s="4" t="e">
        <f>IF(NOT(ISNUMBER(Ugeindtastning!F29)),NA(),Ugeindtastning!F29)</f>
        <v>#N/A</v>
      </c>
      <c r="O26" s="4" t="str">
        <f>IF(Ugeindtastning!H29&lt;&gt;"",Ugeindtastning!H29,O25)</f>
        <v/>
      </c>
      <c r="P26" s="4" t="str">
        <f>IF(Ugeindtastning!G29&lt;&gt;"",Ugeindtastning!G29,P25)</f>
        <v/>
      </c>
      <c r="Q26" s="4" t="str">
        <f t="shared" si="2"/>
        <v/>
      </c>
      <c r="R26" s="4" t="str">
        <f>IF(OR(NOT(ISNUMBER(Ugeindtastning!I29)),P26="",P26&lt;=0),"",Ugeindtastning!I29/P26)</f>
        <v/>
      </c>
      <c r="S26" s="4" t="str">
        <f>IF(OR(Ugeindtastning!J29="",Ugeindtastning!$B$6="",Ugeindtastning!$B$6&lt;=0),"",Ugeindtastning!J29/Ugeindtastning!$B$6)</f>
        <v/>
      </c>
      <c r="T26" s="4" t="str">
        <f t="shared" si="3"/>
        <v/>
      </c>
      <c r="U26" s="4">
        <f t="shared" si="4"/>
        <v>0</v>
      </c>
      <c r="V26" s="4" t="str">
        <f t="shared" si="5"/>
        <v>Ikke registreret</v>
      </c>
      <c r="W26" s="4">
        <f t="shared" si="6"/>
        <v>0</v>
      </c>
      <c r="X26" s="4" t="str">
        <f t="shared" si="7"/>
        <v>14/12</v>
      </c>
      <c r="Y26" s="4">
        <f>SUM(D$12:D26)*$D$5/7</f>
        <v>45</v>
      </c>
      <c r="Z26" s="4">
        <f>SUM(D$12:D26)*$E$5/7</f>
        <v>75</v>
      </c>
      <c r="AA26" s="4" t="e">
        <f>IF(OR(B26&gt;$B$2,SUMPRODUCT(D$12:D26,U$12:U26)&gt;0),NA(),SUMPRODUCT(D$12:D26,AJ$12:AJ26))</f>
        <v>#N/A</v>
      </c>
      <c r="AB26" s="4"/>
      <c r="AC26" s="4"/>
      <c r="AD26" s="4"/>
      <c r="AE26" s="4"/>
      <c r="AF26" s="4"/>
      <c r="AG26" s="4"/>
      <c r="AH26" s="4"/>
      <c r="AI26" s="4"/>
      <c r="AJ26" s="4">
        <f t="shared" si="10"/>
        <v>0</v>
      </c>
      <c r="AK26" s="4" t="e">
        <f>IF(NOT(ISNUMBER(Ugeindtastning!I29)),NA(),Ugeindtastning!I29)</f>
        <v>#N/A</v>
      </c>
      <c r="AL26" s="4" t="e">
        <f t="shared" si="11"/>
        <v>#N/A</v>
      </c>
      <c r="AM26" s="4" t="e">
        <f t="shared" si="12"/>
        <v>#N/A</v>
      </c>
      <c r="AN26" s="4" t="e">
        <f t="shared" si="13"/>
        <v>#N/A</v>
      </c>
      <c r="AO26" s="4" t="e">
        <f t="shared" si="14"/>
        <v>#N/A</v>
      </c>
      <c r="AP26" s="4" t="e">
        <f t="shared" si="15"/>
        <v>#N/A</v>
      </c>
    </row>
    <row r="27" spans="1:42" s="5" customFormat="1" ht="23" customHeight="1">
      <c r="A27" s="6" t="str">
        <f>TEXT(Ugeindtastning!A30,"dd/mm")</f>
        <v>21/12</v>
      </c>
      <c r="B27" s="143">
        <f>Ugeindtastning!B30</f>
        <v>46383</v>
      </c>
      <c r="C27" s="142">
        <f>B27-Ugeindtastning!A30+1</f>
        <v>7</v>
      </c>
      <c r="D27" s="142">
        <f>MAX(0,MIN(B27,$C$5)-MAX(Ugeindtastning!A30,$B$5)+1)</f>
        <v>7</v>
      </c>
      <c r="E27" s="142">
        <f>MAX(0,MIN(B27,$C$6)-MAX(Ugeindtastning!A30,$B$6)+1)</f>
        <v>0</v>
      </c>
      <c r="F27" s="142">
        <f>MAX(0,MIN(B27,$C$7)-MAX(Ugeindtastning!A30,$B$7)+1)</f>
        <v>0</v>
      </c>
      <c r="G27" s="142">
        <f t="shared" si="0"/>
        <v>3</v>
      </c>
      <c r="H27" s="142">
        <f t="shared" si="1"/>
        <v>5</v>
      </c>
      <c r="I27" s="142" t="str">
        <f>IF(NOT(ISNUMBER(Ugeindtastning!D30)),"",Ugeindtastning!D30)</f>
        <v/>
      </c>
      <c r="J27" s="142">
        <f>SUM(G$12:G27)</f>
        <v>48</v>
      </c>
      <c r="K27" s="142">
        <f>SUM(H$12:H27)</f>
        <v>80</v>
      </c>
      <c r="L27" s="57" t="e">
        <f>IF(OR(B27&gt;$B$2,COUNT(I$12:I27)&lt;ROWS(I$12:I27)),NA(),SUM(I$12:I27))</f>
        <v>#N/A</v>
      </c>
      <c r="M27" s="4" t="e">
        <f>IF(NOT(ISNUMBER(Ugeindtastning!E30)),NA(),Ugeindtastning!E30)</f>
        <v>#N/A</v>
      </c>
      <c r="N27" s="4" t="e">
        <f>IF(NOT(ISNUMBER(Ugeindtastning!F30)),NA(),Ugeindtastning!F30)</f>
        <v>#N/A</v>
      </c>
      <c r="O27" s="4" t="str">
        <f>IF(Ugeindtastning!H30&lt;&gt;"",Ugeindtastning!H30,O26)</f>
        <v/>
      </c>
      <c r="P27" s="4" t="str">
        <f>IF(Ugeindtastning!G30&lt;&gt;"",Ugeindtastning!G30,P26)</f>
        <v/>
      </c>
      <c r="Q27" s="4" t="str">
        <f t="shared" si="2"/>
        <v/>
      </c>
      <c r="R27" s="4" t="str">
        <f>IF(OR(NOT(ISNUMBER(Ugeindtastning!I30)),P27="",P27&lt;=0),"",Ugeindtastning!I30/P27)</f>
        <v/>
      </c>
      <c r="S27" s="4" t="str">
        <f>IF(OR(Ugeindtastning!J30="",Ugeindtastning!$B$6="",Ugeindtastning!$B$6&lt;=0),"",Ugeindtastning!J30/Ugeindtastning!$B$6)</f>
        <v/>
      </c>
      <c r="T27" s="4" t="str">
        <f t="shared" si="3"/>
        <v/>
      </c>
      <c r="U27" s="4">
        <f t="shared" si="4"/>
        <v>0</v>
      </c>
      <c r="V27" s="4" t="str">
        <f t="shared" si="5"/>
        <v>Ikke registreret</v>
      </c>
      <c r="W27" s="4">
        <f t="shared" si="6"/>
        <v>0</v>
      </c>
      <c r="X27" s="4" t="str">
        <f t="shared" si="7"/>
        <v>21/12</v>
      </c>
      <c r="Y27" s="4">
        <f>SUM(D$12:D27)*$D$5/7</f>
        <v>48</v>
      </c>
      <c r="Z27" s="4">
        <f>SUM(D$12:D27)*$E$5/7</f>
        <v>80</v>
      </c>
      <c r="AA27" s="4" t="e">
        <f>IF(OR(B27&gt;$B$2,SUMPRODUCT(D$12:D27,U$12:U27)&gt;0),NA(),SUMPRODUCT(D$12:D27,AJ$12:AJ27))</f>
        <v>#N/A</v>
      </c>
      <c r="AB27" s="4"/>
      <c r="AC27" s="4"/>
      <c r="AD27" s="4"/>
      <c r="AE27" s="4"/>
      <c r="AF27" s="4"/>
      <c r="AG27" s="4"/>
      <c r="AH27" s="4"/>
      <c r="AI27" s="4"/>
      <c r="AJ27" s="4">
        <f t="shared" si="10"/>
        <v>0</v>
      </c>
      <c r="AK27" s="4" t="e">
        <f>IF(NOT(ISNUMBER(Ugeindtastning!I30)),NA(),Ugeindtastning!I30)</f>
        <v>#N/A</v>
      </c>
      <c r="AL27" s="4" t="e">
        <f t="shared" si="11"/>
        <v>#N/A</v>
      </c>
      <c r="AM27" s="4" t="e">
        <f t="shared" si="12"/>
        <v>#N/A</v>
      </c>
      <c r="AN27" s="4" t="e">
        <f t="shared" si="13"/>
        <v>#N/A</v>
      </c>
      <c r="AO27" s="4" t="e">
        <f t="shared" si="14"/>
        <v>#N/A</v>
      </c>
      <c r="AP27" s="4" t="e">
        <f t="shared" si="15"/>
        <v>#N/A</v>
      </c>
    </row>
    <row r="28" spans="1:42" s="5" customFormat="1" ht="23" customHeight="1">
      <c r="A28" s="6" t="str">
        <f>TEXT(Ugeindtastning!A31,"dd/mm")</f>
        <v>28/12</v>
      </c>
      <c r="B28" s="143">
        <f>Ugeindtastning!B31</f>
        <v>46390</v>
      </c>
      <c r="C28" s="142">
        <f>B28-Ugeindtastning!A31+1</f>
        <v>7</v>
      </c>
      <c r="D28" s="142">
        <f>MAX(0,MIN(B28,$C$5)-MAX(Ugeindtastning!A31,$B$5)+1)</f>
        <v>4</v>
      </c>
      <c r="E28" s="142">
        <f>MAX(0,MIN(B28,$C$6)-MAX(Ugeindtastning!A31,$B$6)+1)</f>
        <v>3</v>
      </c>
      <c r="F28" s="142">
        <f>MAX(0,MIN(B28,$C$7)-MAX(Ugeindtastning!A31,$B$7)+1)</f>
        <v>0</v>
      </c>
      <c r="G28" s="142">
        <f t="shared" si="0"/>
        <v>3.8571428571428572</v>
      </c>
      <c r="H28" s="142">
        <f t="shared" si="1"/>
        <v>5.8571428571428568</v>
      </c>
      <c r="I28" s="142" t="str">
        <f>IF(NOT(ISNUMBER(Ugeindtastning!D31)),"",Ugeindtastning!D31)</f>
        <v/>
      </c>
      <c r="J28" s="142">
        <f>SUM(G$12:G28)</f>
        <v>51.857142857142854</v>
      </c>
      <c r="K28" s="142">
        <f>SUM(H$12:H28)</f>
        <v>85.857142857142861</v>
      </c>
      <c r="L28" s="57" t="e">
        <f>IF(OR(B28&gt;$B$2,COUNT(I$12:I28)&lt;ROWS(I$12:I28)),NA(),SUM(I$12:I28))</f>
        <v>#N/A</v>
      </c>
      <c r="M28" s="4" t="e">
        <f>IF(NOT(ISNUMBER(Ugeindtastning!E31)),NA(),Ugeindtastning!E31)</f>
        <v>#N/A</v>
      </c>
      <c r="N28" s="4" t="e">
        <f>IF(NOT(ISNUMBER(Ugeindtastning!F31)),NA(),Ugeindtastning!F31)</f>
        <v>#N/A</v>
      </c>
      <c r="O28" s="4" t="str">
        <f>IF(Ugeindtastning!H31&lt;&gt;"",Ugeindtastning!H31,O27)</f>
        <v/>
      </c>
      <c r="P28" s="4" t="str">
        <f>IF(Ugeindtastning!G31&lt;&gt;"",Ugeindtastning!G31,P27)</f>
        <v/>
      </c>
      <c r="Q28" s="4" t="str">
        <f t="shared" si="2"/>
        <v/>
      </c>
      <c r="R28" s="4" t="str">
        <f>IF(OR(NOT(ISNUMBER(Ugeindtastning!I31)),P28="",P28&lt;=0),"",Ugeindtastning!I31/P28)</f>
        <v/>
      </c>
      <c r="S28" s="4" t="str">
        <f>IF(OR(Ugeindtastning!J31="",Ugeindtastning!$B$6="",Ugeindtastning!$B$6&lt;=0),"",Ugeindtastning!J31/Ugeindtastning!$B$6)</f>
        <v/>
      </c>
      <c r="T28" s="4" t="str">
        <f t="shared" si="3"/>
        <v/>
      </c>
      <c r="U28" s="4">
        <f t="shared" si="4"/>
        <v>0</v>
      </c>
      <c r="V28" s="4" t="str">
        <f t="shared" si="5"/>
        <v>Ikke registreret</v>
      </c>
      <c r="W28" s="4">
        <f t="shared" si="6"/>
        <v>0</v>
      </c>
      <c r="X28" s="4" t="str">
        <f t="shared" si="7"/>
        <v>28/12</v>
      </c>
      <c r="Y28" s="4">
        <f>SUM(D$12:D28)*$D$5/7</f>
        <v>49.714285714285715</v>
      </c>
      <c r="Z28" s="4">
        <f>SUM(D$12:D28)*$E$5/7</f>
        <v>82.857142857142861</v>
      </c>
      <c r="AA28" s="4" t="e">
        <f>IF(OR(B28&gt;$B$2,SUMPRODUCT(D$12:D28,U$12:U28)&gt;0),NA(),SUMPRODUCT(D$12:D28,AJ$12:AJ28))</f>
        <v>#N/A</v>
      </c>
      <c r="AB28" s="4"/>
      <c r="AC28" s="4"/>
      <c r="AD28" s="4"/>
      <c r="AE28" s="4"/>
      <c r="AF28" s="4"/>
      <c r="AG28" s="4"/>
      <c r="AH28" s="4"/>
      <c r="AI28" s="4"/>
      <c r="AJ28" s="4">
        <f t="shared" si="10"/>
        <v>0</v>
      </c>
      <c r="AK28" s="4" t="e">
        <f>IF(NOT(ISNUMBER(Ugeindtastning!I31)),NA(),Ugeindtastning!I31)</f>
        <v>#N/A</v>
      </c>
      <c r="AL28" s="4" t="e">
        <f t="shared" si="11"/>
        <v>#N/A</v>
      </c>
      <c r="AM28" s="4" t="e">
        <f t="shared" si="12"/>
        <v>#N/A</v>
      </c>
      <c r="AN28" s="4" t="e">
        <f t="shared" si="13"/>
        <v>#N/A</v>
      </c>
      <c r="AO28" s="4" t="e">
        <f t="shared" si="14"/>
        <v>#N/A</v>
      </c>
      <c r="AP28" s="4" t="e">
        <f t="shared" si="15"/>
        <v>#N/A</v>
      </c>
    </row>
    <row r="29" spans="1:42" s="5" customFormat="1" ht="23" customHeight="1">
      <c r="A29" s="6" t="str">
        <f>TEXT(Ugeindtastning!A32,"dd/mm")</f>
        <v>04/01</v>
      </c>
      <c r="B29" s="143">
        <f>Ugeindtastning!B32</f>
        <v>46397</v>
      </c>
      <c r="C29" s="142">
        <f>B29-Ugeindtastning!A32+1</f>
        <v>7</v>
      </c>
      <c r="D29" s="142">
        <f>MAX(0,MIN(B29,$C$5)-MAX(Ugeindtastning!A32,$B$5)+1)</f>
        <v>0</v>
      </c>
      <c r="E29" s="142">
        <f>MAX(0,MIN(B29,$C$6)-MAX(Ugeindtastning!A32,$B$6)+1)</f>
        <v>7</v>
      </c>
      <c r="F29" s="142">
        <f>MAX(0,MIN(B29,$C$7)-MAX(Ugeindtastning!A32,$B$7)+1)</f>
        <v>0</v>
      </c>
      <c r="G29" s="142">
        <f t="shared" si="0"/>
        <v>5</v>
      </c>
      <c r="H29" s="142">
        <f t="shared" si="1"/>
        <v>7</v>
      </c>
      <c r="I29" s="142" t="str">
        <f>IF(NOT(ISNUMBER(Ugeindtastning!D32)),"",Ugeindtastning!D32)</f>
        <v/>
      </c>
      <c r="J29" s="142">
        <f>SUM(G$12:G29)</f>
        <v>56.857142857142854</v>
      </c>
      <c r="K29" s="142">
        <f>SUM(H$12:H29)</f>
        <v>92.857142857142861</v>
      </c>
      <c r="L29" s="57" t="e">
        <f>IF(OR(B29&gt;$B$2,COUNT(I$12:I29)&lt;ROWS(I$12:I29)),NA(),SUM(I$12:I29))</f>
        <v>#N/A</v>
      </c>
      <c r="M29" s="4" t="e">
        <f>IF(NOT(ISNUMBER(Ugeindtastning!E32)),NA(),Ugeindtastning!E32)</f>
        <v>#N/A</v>
      </c>
      <c r="N29" s="4" t="e">
        <f>IF(NOT(ISNUMBER(Ugeindtastning!F32)),NA(),Ugeindtastning!F32)</f>
        <v>#N/A</v>
      </c>
      <c r="O29" s="4" t="str">
        <f>IF(Ugeindtastning!H32&lt;&gt;"",Ugeindtastning!H32,O28)</f>
        <v/>
      </c>
      <c r="P29" s="4" t="str">
        <f>IF(Ugeindtastning!G32&lt;&gt;"",Ugeindtastning!G32,P28)</f>
        <v/>
      </c>
      <c r="Q29" s="4" t="str">
        <f t="shared" si="2"/>
        <v/>
      </c>
      <c r="R29" s="4" t="str">
        <f>IF(OR(NOT(ISNUMBER(Ugeindtastning!I32)),P29="",P29&lt;=0),"",Ugeindtastning!I32/P29)</f>
        <v/>
      </c>
      <c r="S29" s="4" t="str">
        <f>IF(OR(Ugeindtastning!J32="",Ugeindtastning!$B$6="",Ugeindtastning!$B$6&lt;=0),"",Ugeindtastning!J32/Ugeindtastning!$B$6)</f>
        <v/>
      </c>
      <c r="T29" s="4" t="str">
        <f t="shared" si="3"/>
        <v/>
      </c>
      <c r="U29" s="4">
        <f t="shared" si="4"/>
        <v>0</v>
      </c>
      <c r="V29" s="4" t="str">
        <f t="shared" si="5"/>
        <v>Ikke registreret</v>
      </c>
      <c r="W29" s="4">
        <f t="shared" si="6"/>
        <v>0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>
        <f t="shared" si="10"/>
        <v>0</v>
      </c>
      <c r="AK29" s="4" t="e">
        <f>IF(NOT(ISNUMBER(Ugeindtastning!I32)),NA(),Ugeindtastning!I32)</f>
        <v>#N/A</v>
      </c>
      <c r="AL29" s="4" t="e">
        <f t="shared" si="11"/>
        <v>#N/A</v>
      </c>
      <c r="AM29" s="4" t="e">
        <f t="shared" si="12"/>
        <v>#N/A</v>
      </c>
      <c r="AN29" s="4" t="e">
        <f t="shared" si="13"/>
        <v>#N/A</v>
      </c>
      <c r="AO29" s="4" t="e">
        <f t="shared" si="14"/>
        <v>#N/A</v>
      </c>
      <c r="AP29" s="4" t="e">
        <f t="shared" si="15"/>
        <v>#N/A</v>
      </c>
    </row>
    <row r="30" spans="1:42" s="5" customFormat="1" ht="23" customHeight="1">
      <c r="A30" s="6" t="str">
        <f>TEXT(Ugeindtastning!A33,"dd/mm")</f>
        <v>11/01</v>
      </c>
      <c r="B30" s="143">
        <f>Ugeindtastning!B33</f>
        <v>46404</v>
      </c>
      <c r="C30" s="142">
        <f>B30-Ugeindtastning!A33+1</f>
        <v>7</v>
      </c>
      <c r="D30" s="142">
        <f>MAX(0,MIN(B30,$C$5)-MAX(Ugeindtastning!A33,$B$5)+1)</f>
        <v>0</v>
      </c>
      <c r="E30" s="142">
        <f>MAX(0,MIN(B30,$C$6)-MAX(Ugeindtastning!A33,$B$6)+1)</f>
        <v>7</v>
      </c>
      <c r="F30" s="142">
        <f>MAX(0,MIN(B30,$C$7)-MAX(Ugeindtastning!A33,$B$7)+1)</f>
        <v>0</v>
      </c>
      <c r="G30" s="142">
        <f t="shared" si="0"/>
        <v>5</v>
      </c>
      <c r="H30" s="142">
        <f t="shared" si="1"/>
        <v>7</v>
      </c>
      <c r="I30" s="142" t="str">
        <f>IF(NOT(ISNUMBER(Ugeindtastning!D33)),"",Ugeindtastning!D33)</f>
        <v/>
      </c>
      <c r="J30" s="142">
        <f>SUM(G$12:G30)</f>
        <v>61.857142857142854</v>
      </c>
      <c r="K30" s="142">
        <f>SUM(H$12:H30)</f>
        <v>99.857142857142861</v>
      </c>
      <c r="L30" s="57" t="e">
        <f>IF(OR(B30&gt;$B$2,COUNT(I$12:I30)&lt;ROWS(I$12:I30)),NA(),SUM(I$12:I30))</f>
        <v>#N/A</v>
      </c>
      <c r="M30" s="4" t="e">
        <f>IF(NOT(ISNUMBER(Ugeindtastning!E33)),NA(),Ugeindtastning!E33)</f>
        <v>#N/A</v>
      </c>
      <c r="N30" s="4" t="e">
        <f>IF(NOT(ISNUMBER(Ugeindtastning!F33)),NA(),Ugeindtastning!F33)</f>
        <v>#N/A</v>
      </c>
      <c r="O30" s="4" t="str">
        <f>IF(Ugeindtastning!H33&lt;&gt;"",Ugeindtastning!H33,O29)</f>
        <v/>
      </c>
      <c r="P30" s="4" t="str">
        <f>IF(Ugeindtastning!G33&lt;&gt;"",Ugeindtastning!G33,P29)</f>
        <v/>
      </c>
      <c r="Q30" s="4" t="str">
        <f t="shared" si="2"/>
        <v/>
      </c>
      <c r="R30" s="4" t="str">
        <f>IF(OR(NOT(ISNUMBER(Ugeindtastning!I33)),P30="",P30&lt;=0),"",Ugeindtastning!I33/P30)</f>
        <v/>
      </c>
      <c r="S30" s="4" t="str">
        <f>IF(OR(Ugeindtastning!J33="",Ugeindtastning!$B$6="",Ugeindtastning!$B$6&lt;=0),"",Ugeindtastning!J33/Ugeindtastning!$B$6)</f>
        <v/>
      </c>
      <c r="T30" s="4" t="str">
        <f t="shared" si="3"/>
        <v/>
      </c>
      <c r="U30" s="4">
        <f t="shared" si="4"/>
        <v>0</v>
      </c>
      <c r="V30" s="4" t="str">
        <f t="shared" si="5"/>
        <v>Ikke registreret</v>
      </c>
      <c r="W30" s="4">
        <f t="shared" si="6"/>
        <v>0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>
        <f t="shared" si="10"/>
        <v>0</v>
      </c>
      <c r="AK30" s="4" t="e">
        <f>IF(NOT(ISNUMBER(Ugeindtastning!I33)),NA(),Ugeindtastning!I33)</f>
        <v>#N/A</v>
      </c>
      <c r="AL30" s="4" t="e">
        <f t="shared" si="11"/>
        <v>#N/A</v>
      </c>
      <c r="AM30" s="4" t="e">
        <f t="shared" si="12"/>
        <v>#N/A</v>
      </c>
      <c r="AN30" s="4" t="e">
        <f t="shared" si="13"/>
        <v>#N/A</v>
      </c>
      <c r="AO30" s="4" t="e">
        <f t="shared" si="14"/>
        <v>#N/A</v>
      </c>
      <c r="AP30" s="4" t="e">
        <f t="shared" si="15"/>
        <v>#N/A</v>
      </c>
    </row>
    <row r="31" spans="1:42" s="5" customFormat="1" ht="23" customHeight="1">
      <c r="A31" s="6" t="str">
        <f>TEXT(Ugeindtastning!A34,"dd/mm")</f>
        <v>18/01</v>
      </c>
      <c r="B31" s="143">
        <f>Ugeindtastning!B34</f>
        <v>46411</v>
      </c>
      <c r="C31" s="142">
        <f>B31-Ugeindtastning!A34+1</f>
        <v>7</v>
      </c>
      <c r="D31" s="142">
        <f>MAX(0,MIN(B31,$C$5)-MAX(Ugeindtastning!A34,$B$5)+1)</f>
        <v>0</v>
      </c>
      <c r="E31" s="142">
        <f>MAX(0,MIN(B31,$C$6)-MAX(Ugeindtastning!A34,$B$6)+1)</f>
        <v>7</v>
      </c>
      <c r="F31" s="142">
        <f>MAX(0,MIN(B31,$C$7)-MAX(Ugeindtastning!A34,$B$7)+1)</f>
        <v>0</v>
      </c>
      <c r="G31" s="142">
        <f t="shared" si="0"/>
        <v>5</v>
      </c>
      <c r="H31" s="142">
        <f t="shared" si="1"/>
        <v>7</v>
      </c>
      <c r="I31" s="142" t="str">
        <f>IF(NOT(ISNUMBER(Ugeindtastning!D34)),"",Ugeindtastning!D34)</f>
        <v/>
      </c>
      <c r="J31" s="142">
        <f>SUM(G$12:G31)</f>
        <v>66.857142857142861</v>
      </c>
      <c r="K31" s="142">
        <f>SUM(H$12:H31)</f>
        <v>106.85714285714286</v>
      </c>
      <c r="L31" s="57" t="e">
        <f>IF(OR(B31&gt;$B$2,COUNT(I$12:I31)&lt;ROWS(I$12:I31)),NA(),SUM(I$12:I31))</f>
        <v>#N/A</v>
      </c>
      <c r="M31" s="4" t="e">
        <f>IF(NOT(ISNUMBER(Ugeindtastning!E34)),NA(),Ugeindtastning!E34)</f>
        <v>#N/A</v>
      </c>
      <c r="N31" s="4" t="e">
        <f>IF(NOT(ISNUMBER(Ugeindtastning!F34)),NA(),Ugeindtastning!F34)</f>
        <v>#N/A</v>
      </c>
      <c r="O31" s="4" t="str">
        <f>IF(Ugeindtastning!H34&lt;&gt;"",Ugeindtastning!H34,O30)</f>
        <v/>
      </c>
      <c r="P31" s="4" t="str">
        <f>IF(Ugeindtastning!G34&lt;&gt;"",Ugeindtastning!G34,P30)</f>
        <v/>
      </c>
      <c r="Q31" s="4" t="str">
        <f t="shared" si="2"/>
        <v/>
      </c>
      <c r="R31" s="4" t="str">
        <f>IF(OR(NOT(ISNUMBER(Ugeindtastning!I34)),P31="",P31&lt;=0),"",Ugeindtastning!I34/P31)</f>
        <v/>
      </c>
      <c r="S31" s="4" t="str">
        <f>IF(OR(Ugeindtastning!J34="",Ugeindtastning!$B$6="",Ugeindtastning!$B$6&lt;=0),"",Ugeindtastning!J34/Ugeindtastning!$B$6)</f>
        <v/>
      </c>
      <c r="T31" s="4" t="str">
        <f t="shared" si="3"/>
        <v/>
      </c>
      <c r="U31" s="4">
        <f t="shared" si="4"/>
        <v>0</v>
      </c>
      <c r="V31" s="4" t="str">
        <f t="shared" si="5"/>
        <v>Ikke registreret</v>
      </c>
      <c r="W31" s="4">
        <f t="shared" si="6"/>
        <v>0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>
        <f t="shared" si="10"/>
        <v>0</v>
      </c>
      <c r="AK31" s="4" t="e">
        <f>IF(NOT(ISNUMBER(Ugeindtastning!I34)),NA(),Ugeindtastning!I34)</f>
        <v>#N/A</v>
      </c>
      <c r="AL31" s="4" t="e">
        <f t="shared" si="11"/>
        <v>#N/A</v>
      </c>
      <c r="AM31" s="4" t="e">
        <f t="shared" si="12"/>
        <v>#N/A</v>
      </c>
      <c r="AN31" s="4" t="e">
        <f t="shared" si="13"/>
        <v>#N/A</v>
      </c>
      <c r="AO31" s="4" t="e">
        <f t="shared" si="14"/>
        <v>#N/A</v>
      </c>
      <c r="AP31" s="4" t="e">
        <f t="shared" si="15"/>
        <v>#N/A</v>
      </c>
    </row>
    <row r="32" spans="1:42" s="5" customFormat="1" ht="23" customHeight="1">
      <c r="A32" s="6" t="str">
        <f>TEXT(Ugeindtastning!A35,"dd/mm")</f>
        <v>25/01</v>
      </c>
      <c r="B32" s="143">
        <f>Ugeindtastning!B35</f>
        <v>46418</v>
      </c>
      <c r="C32" s="142">
        <f>B32-Ugeindtastning!A35+1</f>
        <v>7</v>
      </c>
      <c r="D32" s="142">
        <f>MAX(0,MIN(B32,$C$5)-MAX(Ugeindtastning!A35,$B$5)+1)</f>
        <v>0</v>
      </c>
      <c r="E32" s="142">
        <f>MAX(0,MIN(B32,$C$6)-MAX(Ugeindtastning!A35,$B$6)+1)</f>
        <v>7</v>
      </c>
      <c r="F32" s="142">
        <f>MAX(0,MIN(B32,$C$7)-MAX(Ugeindtastning!A35,$B$7)+1)</f>
        <v>0</v>
      </c>
      <c r="G32" s="142">
        <f t="shared" si="0"/>
        <v>5</v>
      </c>
      <c r="H32" s="142">
        <f t="shared" si="1"/>
        <v>7</v>
      </c>
      <c r="I32" s="142" t="str">
        <f>IF(NOT(ISNUMBER(Ugeindtastning!D35)),"",Ugeindtastning!D35)</f>
        <v/>
      </c>
      <c r="J32" s="142">
        <f>SUM(G$12:G32)</f>
        <v>71.857142857142861</v>
      </c>
      <c r="K32" s="142">
        <f>SUM(H$12:H32)</f>
        <v>113.85714285714286</v>
      </c>
      <c r="L32" s="57" t="e">
        <f>IF(OR(B32&gt;$B$2,COUNT(I$12:I32)&lt;ROWS(I$12:I32)),NA(),SUM(I$12:I32))</f>
        <v>#N/A</v>
      </c>
      <c r="M32" s="4" t="e">
        <f>IF(NOT(ISNUMBER(Ugeindtastning!E35)),NA(),Ugeindtastning!E35)</f>
        <v>#N/A</v>
      </c>
      <c r="N32" s="4" t="e">
        <f>IF(NOT(ISNUMBER(Ugeindtastning!F35)),NA(),Ugeindtastning!F35)</f>
        <v>#N/A</v>
      </c>
      <c r="O32" s="4" t="str">
        <f>IF(Ugeindtastning!H35&lt;&gt;"",Ugeindtastning!H35,O31)</f>
        <v/>
      </c>
      <c r="P32" s="4" t="str">
        <f>IF(Ugeindtastning!G35&lt;&gt;"",Ugeindtastning!G35,P31)</f>
        <v/>
      </c>
      <c r="Q32" s="4" t="str">
        <f t="shared" si="2"/>
        <v/>
      </c>
      <c r="R32" s="4" t="str">
        <f>IF(OR(NOT(ISNUMBER(Ugeindtastning!I35)),P32="",P32&lt;=0),"",Ugeindtastning!I35/P32)</f>
        <v/>
      </c>
      <c r="S32" s="4" t="str">
        <f>IF(OR(Ugeindtastning!J35="",Ugeindtastning!$B$6="",Ugeindtastning!$B$6&lt;=0),"",Ugeindtastning!J35/Ugeindtastning!$B$6)</f>
        <v/>
      </c>
      <c r="T32" s="4" t="str">
        <f t="shared" si="3"/>
        <v/>
      </c>
      <c r="U32" s="4">
        <f t="shared" si="4"/>
        <v>0</v>
      </c>
      <c r="V32" s="4" t="str">
        <f t="shared" si="5"/>
        <v>Ikke registreret</v>
      </c>
      <c r="W32" s="4">
        <f t="shared" si="6"/>
        <v>0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>
        <f t="shared" si="10"/>
        <v>0</v>
      </c>
      <c r="AK32" s="4" t="e">
        <f>IF(NOT(ISNUMBER(Ugeindtastning!I35)),NA(),Ugeindtastning!I35)</f>
        <v>#N/A</v>
      </c>
      <c r="AL32" s="4" t="e">
        <f t="shared" si="11"/>
        <v>#N/A</v>
      </c>
      <c r="AM32" s="4" t="e">
        <f t="shared" si="12"/>
        <v>#N/A</v>
      </c>
      <c r="AN32" s="4" t="e">
        <f t="shared" si="13"/>
        <v>#N/A</v>
      </c>
      <c r="AO32" s="4" t="e">
        <f t="shared" si="14"/>
        <v>#N/A</v>
      </c>
      <c r="AP32" s="4" t="e">
        <f t="shared" si="15"/>
        <v>#N/A</v>
      </c>
    </row>
    <row r="33" spans="1:42" s="5" customFormat="1" ht="23" customHeight="1">
      <c r="A33" s="6" t="str">
        <f>TEXT(Ugeindtastning!A36,"dd/mm")</f>
        <v>01/02</v>
      </c>
      <c r="B33" s="143">
        <f>Ugeindtastning!B36</f>
        <v>46425</v>
      </c>
      <c r="C33" s="142">
        <f>B33-Ugeindtastning!A36+1</f>
        <v>7</v>
      </c>
      <c r="D33" s="142">
        <f>MAX(0,MIN(B33,$C$5)-MAX(Ugeindtastning!A36,$B$5)+1)</f>
        <v>0</v>
      </c>
      <c r="E33" s="142">
        <f>MAX(0,MIN(B33,$C$6)-MAX(Ugeindtastning!A36,$B$6)+1)</f>
        <v>7</v>
      </c>
      <c r="F33" s="142">
        <f>MAX(0,MIN(B33,$C$7)-MAX(Ugeindtastning!A36,$B$7)+1)</f>
        <v>0</v>
      </c>
      <c r="G33" s="142">
        <f t="shared" si="0"/>
        <v>5</v>
      </c>
      <c r="H33" s="142">
        <f t="shared" si="1"/>
        <v>7</v>
      </c>
      <c r="I33" s="142" t="str">
        <f>IF(NOT(ISNUMBER(Ugeindtastning!D36)),"",Ugeindtastning!D36)</f>
        <v/>
      </c>
      <c r="J33" s="142">
        <f>SUM(G$12:G33)</f>
        <v>76.857142857142861</v>
      </c>
      <c r="K33" s="142">
        <f>SUM(H$12:H33)</f>
        <v>120.85714285714286</v>
      </c>
      <c r="L33" s="57" t="e">
        <f>IF(OR(B33&gt;$B$2,COUNT(I$12:I33)&lt;ROWS(I$12:I33)),NA(),SUM(I$12:I33))</f>
        <v>#N/A</v>
      </c>
      <c r="M33" s="4" t="e">
        <f>IF(NOT(ISNUMBER(Ugeindtastning!E36)),NA(),Ugeindtastning!E36)</f>
        <v>#N/A</v>
      </c>
      <c r="N33" s="4" t="e">
        <f>IF(NOT(ISNUMBER(Ugeindtastning!F36)),NA(),Ugeindtastning!F36)</f>
        <v>#N/A</v>
      </c>
      <c r="O33" s="4" t="str">
        <f>IF(Ugeindtastning!H36&lt;&gt;"",Ugeindtastning!H36,O32)</f>
        <v/>
      </c>
      <c r="P33" s="4" t="str">
        <f>IF(Ugeindtastning!G36&lt;&gt;"",Ugeindtastning!G36,P32)</f>
        <v/>
      </c>
      <c r="Q33" s="4" t="str">
        <f t="shared" si="2"/>
        <v/>
      </c>
      <c r="R33" s="4" t="str">
        <f>IF(OR(NOT(ISNUMBER(Ugeindtastning!I36)),P33="",P33&lt;=0),"",Ugeindtastning!I36/P33)</f>
        <v/>
      </c>
      <c r="S33" s="4" t="str">
        <f>IF(OR(Ugeindtastning!J36="",Ugeindtastning!$B$6="",Ugeindtastning!$B$6&lt;=0),"",Ugeindtastning!J36/Ugeindtastning!$B$6)</f>
        <v/>
      </c>
      <c r="T33" s="4" t="str">
        <f t="shared" si="3"/>
        <v/>
      </c>
      <c r="U33" s="4">
        <f t="shared" si="4"/>
        <v>0</v>
      </c>
      <c r="V33" s="4" t="str">
        <f t="shared" si="5"/>
        <v>Ikke registreret</v>
      </c>
      <c r="W33" s="4">
        <f t="shared" si="6"/>
        <v>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>
        <f t="shared" si="10"/>
        <v>0</v>
      </c>
      <c r="AK33" s="4" t="e">
        <f>IF(NOT(ISNUMBER(Ugeindtastning!I36)),NA(),Ugeindtastning!I36)</f>
        <v>#N/A</v>
      </c>
      <c r="AL33" s="4" t="e">
        <f t="shared" si="11"/>
        <v>#N/A</v>
      </c>
      <c r="AM33" s="4" t="e">
        <f t="shared" si="12"/>
        <v>#N/A</v>
      </c>
      <c r="AN33" s="4" t="e">
        <f t="shared" si="13"/>
        <v>#N/A</v>
      </c>
      <c r="AO33" s="4" t="e">
        <f t="shared" si="14"/>
        <v>#N/A</v>
      </c>
      <c r="AP33" s="4" t="e">
        <f t="shared" si="15"/>
        <v>#N/A</v>
      </c>
    </row>
    <row r="34" spans="1:42" s="5" customFormat="1" ht="23" customHeight="1">
      <c r="A34" s="6" t="str">
        <f>TEXT(Ugeindtastning!A37,"dd/mm")</f>
        <v>08/02</v>
      </c>
      <c r="B34" s="143">
        <f>Ugeindtastning!B37</f>
        <v>46432</v>
      </c>
      <c r="C34" s="142">
        <f>B34-Ugeindtastning!A37+1</f>
        <v>7</v>
      </c>
      <c r="D34" s="142">
        <f>MAX(0,MIN(B34,$C$5)-MAX(Ugeindtastning!A37,$B$5)+1)</f>
        <v>0</v>
      </c>
      <c r="E34" s="142">
        <f>MAX(0,MIN(B34,$C$6)-MAX(Ugeindtastning!A37,$B$6)+1)</f>
        <v>7</v>
      </c>
      <c r="F34" s="142">
        <f>MAX(0,MIN(B34,$C$7)-MAX(Ugeindtastning!A37,$B$7)+1)</f>
        <v>0</v>
      </c>
      <c r="G34" s="142">
        <f t="shared" si="0"/>
        <v>5</v>
      </c>
      <c r="H34" s="142">
        <f t="shared" si="1"/>
        <v>7</v>
      </c>
      <c r="I34" s="142" t="str">
        <f>IF(NOT(ISNUMBER(Ugeindtastning!D37)),"",Ugeindtastning!D37)</f>
        <v/>
      </c>
      <c r="J34" s="142">
        <f>SUM(G$12:G34)</f>
        <v>81.857142857142861</v>
      </c>
      <c r="K34" s="142">
        <f>SUM(H$12:H34)</f>
        <v>127.85714285714286</v>
      </c>
      <c r="L34" s="57" t="e">
        <f>IF(OR(B34&gt;$B$2,COUNT(I$12:I34)&lt;ROWS(I$12:I34)),NA(),SUM(I$12:I34))</f>
        <v>#N/A</v>
      </c>
      <c r="M34" s="4" t="e">
        <f>IF(NOT(ISNUMBER(Ugeindtastning!E37)),NA(),Ugeindtastning!E37)</f>
        <v>#N/A</v>
      </c>
      <c r="N34" s="4" t="e">
        <f>IF(NOT(ISNUMBER(Ugeindtastning!F37)),NA(),Ugeindtastning!F37)</f>
        <v>#N/A</v>
      </c>
      <c r="O34" s="4" t="str">
        <f>IF(Ugeindtastning!H37&lt;&gt;"",Ugeindtastning!H37,O33)</f>
        <v/>
      </c>
      <c r="P34" s="4" t="str">
        <f>IF(Ugeindtastning!G37&lt;&gt;"",Ugeindtastning!G37,P33)</f>
        <v/>
      </c>
      <c r="Q34" s="4" t="str">
        <f t="shared" si="2"/>
        <v/>
      </c>
      <c r="R34" s="4" t="str">
        <f>IF(OR(NOT(ISNUMBER(Ugeindtastning!I37)),P34="",P34&lt;=0),"",Ugeindtastning!I37/P34)</f>
        <v/>
      </c>
      <c r="S34" s="4" t="str">
        <f>IF(OR(Ugeindtastning!J37="",Ugeindtastning!$B$6="",Ugeindtastning!$B$6&lt;=0),"",Ugeindtastning!J37/Ugeindtastning!$B$6)</f>
        <v/>
      </c>
      <c r="T34" s="4" t="str">
        <f t="shared" si="3"/>
        <v/>
      </c>
      <c r="U34" s="4">
        <f t="shared" si="4"/>
        <v>0</v>
      </c>
      <c r="V34" s="4" t="str">
        <f t="shared" si="5"/>
        <v>Ikke registreret</v>
      </c>
      <c r="W34" s="4">
        <f t="shared" si="6"/>
        <v>0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>
        <f t="shared" si="10"/>
        <v>0</v>
      </c>
      <c r="AK34" s="4" t="e">
        <f>IF(NOT(ISNUMBER(Ugeindtastning!I37)),NA(),Ugeindtastning!I37)</f>
        <v>#N/A</v>
      </c>
      <c r="AL34" s="4" t="e">
        <f t="shared" si="11"/>
        <v>#N/A</v>
      </c>
      <c r="AM34" s="4" t="e">
        <f t="shared" si="12"/>
        <v>#N/A</v>
      </c>
      <c r="AN34" s="4" t="e">
        <f t="shared" si="13"/>
        <v>#N/A</v>
      </c>
      <c r="AO34" s="4" t="e">
        <f t="shared" si="14"/>
        <v>#N/A</v>
      </c>
      <c r="AP34" s="4" t="e">
        <f t="shared" si="15"/>
        <v>#N/A</v>
      </c>
    </row>
    <row r="35" spans="1:42" s="5" customFormat="1" ht="23" customHeight="1">
      <c r="A35" s="6" t="str">
        <f>TEXT(Ugeindtastning!A38,"dd/mm")</f>
        <v>15/02</v>
      </c>
      <c r="B35" s="143">
        <f>Ugeindtastning!B38</f>
        <v>46439</v>
      </c>
      <c r="C35" s="142">
        <f>B35-Ugeindtastning!A38+1</f>
        <v>7</v>
      </c>
      <c r="D35" s="142">
        <f>MAX(0,MIN(B35,$C$5)-MAX(Ugeindtastning!A38,$B$5)+1)</f>
        <v>0</v>
      </c>
      <c r="E35" s="142">
        <f>MAX(0,MIN(B35,$C$6)-MAX(Ugeindtastning!A38,$B$6)+1)</f>
        <v>7</v>
      </c>
      <c r="F35" s="142">
        <f>MAX(0,MIN(B35,$C$7)-MAX(Ugeindtastning!A38,$B$7)+1)</f>
        <v>0</v>
      </c>
      <c r="G35" s="142">
        <f t="shared" si="0"/>
        <v>5</v>
      </c>
      <c r="H35" s="142">
        <f t="shared" si="1"/>
        <v>7</v>
      </c>
      <c r="I35" s="142" t="str">
        <f>IF(NOT(ISNUMBER(Ugeindtastning!D38)),"",Ugeindtastning!D38)</f>
        <v/>
      </c>
      <c r="J35" s="142">
        <f>SUM(G$12:G35)</f>
        <v>86.857142857142861</v>
      </c>
      <c r="K35" s="142">
        <f>SUM(H$12:H35)</f>
        <v>134.85714285714286</v>
      </c>
      <c r="L35" s="57" t="e">
        <f>IF(OR(B35&gt;$B$2,COUNT(I$12:I35)&lt;ROWS(I$12:I35)),NA(),SUM(I$12:I35))</f>
        <v>#N/A</v>
      </c>
      <c r="M35" s="4" t="e">
        <f>IF(NOT(ISNUMBER(Ugeindtastning!E38)),NA(),Ugeindtastning!E38)</f>
        <v>#N/A</v>
      </c>
      <c r="N35" s="4" t="e">
        <f>IF(NOT(ISNUMBER(Ugeindtastning!F38)),NA(),Ugeindtastning!F38)</f>
        <v>#N/A</v>
      </c>
      <c r="O35" s="4" t="str">
        <f>IF(Ugeindtastning!H38&lt;&gt;"",Ugeindtastning!H38,O34)</f>
        <v/>
      </c>
      <c r="P35" s="4" t="str">
        <f>IF(Ugeindtastning!G38&lt;&gt;"",Ugeindtastning!G38,P34)</f>
        <v/>
      </c>
      <c r="Q35" s="4" t="str">
        <f t="shared" si="2"/>
        <v/>
      </c>
      <c r="R35" s="4" t="str">
        <f>IF(OR(NOT(ISNUMBER(Ugeindtastning!I38)),P35="",P35&lt;=0),"",Ugeindtastning!I38/P35)</f>
        <v/>
      </c>
      <c r="S35" s="4" t="str">
        <f>IF(OR(Ugeindtastning!J38="",Ugeindtastning!$B$6="",Ugeindtastning!$B$6&lt;=0),"",Ugeindtastning!J38/Ugeindtastning!$B$6)</f>
        <v/>
      </c>
      <c r="T35" s="4" t="str">
        <f t="shared" si="3"/>
        <v/>
      </c>
      <c r="U35" s="4">
        <f t="shared" si="4"/>
        <v>0</v>
      </c>
      <c r="V35" s="4" t="str">
        <f t="shared" si="5"/>
        <v>Ikke registreret</v>
      </c>
      <c r="W35" s="4">
        <f t="shared" si="6"/>
        <v>0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>
        <f t="shared" si="10"/>
        <v>0</v>
      </c>
      <c r="AK35" s="4" t="e">
        <f>IF(NOT(ISNUMBER(Ugeindtastning!I38)),NA(),Ugeindtastning!I38)</f>
        <v>#N/A</v>
      </c>
      <c r="AL35" s="4" t="e">
        <f t="shared" si="11"/>
        <v>#N/A</v>
      </c>
      <c r="AM35" s="4" t="e">
        <f t="shared" si="12"/>
        <v>#N/A</v>
      </c>
      <c r="AN35" s="4" t="e">
        <f t="shared" si="13"/>
        <v>#N/A</v>
      </c>
      <c r="AO35" s="4" t="e">
        <f t="shared" si="14"/>
        <v>#N/A</v>
      </c>
      <c r="AP35" s="4" t="e">
        <f t="shared" si="15"/>
        <v>#N/A</v>
      </c>
    </row>
    <row r="36" spans="1:42" s="5" customFormat="1" ht="23" customHeight="1">
      <c r="A36" s="6" t="str">
        <f>TEXT(Ugeindtastning!A39,"dd/mm")</f>
        <v>22/02</v>
      </c>
      <c r="B36" s="143">
        <f>Ugeindtastning!B39</f>
        <v>46446</v>
      </c>
      <c r="C36" s="142">
        <f>B36-Ugeindtastning!A39+1</f>
        <v>7</v>
      </c>
      <c r="D36" s="142">
        <f>MAX(0,MIN(B36,$C$5)-MAX(Ugeindtastning!A39,$B$5)+1)</f>
        <v>0</v>
      </c>
      <c r="E36" s="142">
        <f>MAX(0,MIN(B36,$C$6)-MAX(Ugeindtastning!A39,$B$6)+1)</f>
        <v>7</v>
      </c>
      <c r="F36" s="142">
        <f>MAX(0,MIN(B36,$C$7)-MAX(Ugeindtastning!A39,$B$7)+1)</f>
        <v>0</v>
      </c>
      <c r="G36" s="142">
        <f t="shared" si="0"/>
        <v>5</v>
      </c>
      <c r="H36" s="142">
        <f t="shared" si="1"/>
        <v>7</v>
      </c>
      <c r="I36" s="142" t="str">
        <f>IF(NOT(ISNUMBER(Ugeindtastning!D39)),"",Ugeindtastning!D39)</f>
        <v/>
      </c>
      <c r="J36" s="142">
        <f>SUM(G$12:G36)</f>
        <v>91.857142857142861</v>
      </c>
      <c r="K36" s="142">
        <f>SUM(H$12:H36)</f>
        <v>141.85714285714286</v>
      </c>
      <c r="L36" s="57" t="e">
        <f>IF(OR(B36&gt;$B$2,COUNT(I$12:I36)&lt;ROWS(I$12:I36)),NA(),SUM(I$12:I36))</f>
        <v>#N/A</v>
      </c>
      <c r="M36" s="4" t="e">
        <f>IF(NOT(ISNUMBER(Ugeindtastning!E39)),NA(),Ugeindtastning!E39)</f>
        <v>#N/A</v>
      </c>
      <c r="N36" s="4" t="e">
        <f>IF(NOT(ISNUMBER(Ugeindtastning!F39)),NA(),Ugeindtastning!F39)</f>
        <v>#N/A</v>
      </c>
      <c r="O36" s="4" t="str">
        <f>IF(Ugeindtastning!H39&lt;&gt;"",Ugeindtastning!H39,O35)</f>
        <v/>
      </c>
      <c r="P36" s="4" t="str">
        <f>IF(Ugeindtastning!G39&lt;&gt;"",Ugeindtastning!G39,P35)</f>
        <v/>
      </c>
      <c r="Q36" s="4" t="str">
        <f t="shared" si="2"/>
        <v/>
      </c>
      <c r="R36" s="4" t="str">
        <f>IF(OR(NOT(ISNUMBER(Ugeindtastning!I39)),P36="",P36&lt;=0),"",Ugeindtastning!I39/P36)</f>
        <v/>
      </c>
      <c r="S36" s="4" t="str">
        <f>IF(OR(Ugeindtastning!J39="",Ugeindtastning!$B$6="",Ugeindtastning!$B$6&lt;=0),"",Ugeindtastning!J39/Ugeindtastning!$B$6)</f>
        <v/>
      </c>
      <c r="T36" s="4" t="str">
        <f t="shared" si="3"/>
        <v/>
      </c>
      <c r="U36" s="4">
        <f t="shared" si="4"/>
        <v>0</v>
      </c>
      <c r="V36" s="4" t="str">
        <f t="shared" si="5"/>
        <v>Ikke registreret</v>
      </c>
      <c r="W36" s="4">
        <f t="shared" si="6"/>
        <v>0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>
        <f t="shared" si="10"/>
        <v>0</v>
      </c>
      <c r="AK36" s="4" t="e">
        <f>IF(NOT(ISNUMBER(Ugeindtastning!I39)),NA(),Ugeindtastning!I39)</f>
        <v>#N/A</v>
      </c>
      <c r="AL36" s="4" t="e">
        <f t="shared" si="11"/>
        <v>#N/A</v>
      </c>
      <c r="AM36" s="4" t="e">
        <f t="shared" si="12"/>
        <v>#N/A</v>
      </c>
      <c r="AN36" s="4" t="e">
        <f t="shared" si="13"/>
        <v>#N/A</v>
      </c>
      <c r="AO36" s="4" t="e">
        <f t="shared" si="14"/>
        <v>#N/A</v>
      </c>
      <c r="AP36" s="4" t="e">
        <f t="shared" si="15"/>
        <v>#N/A</v>
      </c>
    </row>
    <row r="37" spans="1:42" s="5" customFormat="1" ht="23" customHeight="1">
      <c r="A37" s="6" t="str">
        <f>TEXT(Ugeindtastning!A40,"dd/mm")</f>
        <v>01/03</v>
      </c>
      <c r="B37" s="143">
        <f>Ugeindtastning!B40</f>
        <v>46453</v>
      </c>
      <c r="C37" s="142">
        <f>B37-Ugeindtastning!A40+1</f>
        <v>7</v>
      </c>
      <c r="D37" s="142">
        <f>MAX(0,MIN(B37,$C$5)-MAX(Ugeindtastning!A40,$B$5)+1)</f>
        <v>0</v>
      </c>
      <c r="E37" s="142">
        <f>MAX(0,MIN(B37,$C$6)-MAX(Ugeindtastning!A40,$B$6)+1)</f>
        <v>7</v>
      </c>
      <c r="F37" s="142">
        <f>MAX(0,MIN(B37,$C$7)-MAX(Ugeindtastning!A40,$B$7)+1)</f>
        <v>0</v>
      </c>
      <c r="G37" s="142">
        <f t="shared" si="0"/>
        <v>5</v>
      </c>
      <c r="H37" s="142">
        <f t="shared" si="1"/>
        <v>7</v>
      </c>
      <c r="I37" s="142" t="str">
        <f>IF(NOT(ISNUMBER(Ugeindtastning!D40)),"",Ugeindtastning!D40)</f>
        <v/>
      </c>
      <c r="J37" s="142">
        <f>SUM(G$12:G37)</f>
        <v>96.857142857142861</v>
      </c>
      <c r="K37" s="142">
        <f>SUM(H$12:H37)</f>
        <v>148.85714285714286</v>
      </c>
      <c r="L37" s="57" t="e">
        <f>IF(OR(B37&gt;$B$2,COUNT(I$12:I37)&lt;ROWS(I$12:I37)),NA(),SUM(I$12:I37))</f>
        <v>#N/A</v>
      </c>
      <c r="M37" s="4" t="e">
        <f>IF(NOT(ISNUMBER(Ugeindtastning!E40)),NA(),Ugeindtastning!E40)</f>
        <v>#N/A</v>
      </c>
      <c r="N37" s="4" t="e">
        <f>IF(NOT(ISNUMBER(Ugeindtastning!F40)),NA(),Ugeindtastning!F40)</f>
        <v>#N/A</v>
      </c>
      <c r="O37" s="4" t="str">
        <f>IF(Ugeindtastning!H40&lt;&gt;"",Ugeindtastning!H40,O36)</f>
        <v/>
      </c>
      <c r="P37" s="4" t="str">
        <f>IF(Ugeindtastning!G40&lt;&gt;"",Ugeindtastning!G40,P36)</f>
        <v/>
      </c>
      <c r="Q37" s="4" t="str">
        <f t="shared" si="2"/>
        <v/>
      </c>
      <c r="R37" s="4" t="str">
        <f>IF(OR(NOT(ISNUMBER(Ugeindtastning!I40)),P37="",P37&lt;=0),"",Ugeindtastning!I40/P37)</f>
        <v/>
      </c>
      <c r="S37" s="4" t="str">
        <f>IF(OR(Ugeindtastning!J40="",Ugeindtastning!$B$6="",Ugeindtastning!$B$6&lt;=0),"",Ugeindtastning!J40/Ugeindtastning!$B$6)</f>
        <v/>
      </c>
      <c r="T37" s="4" t="str">
        <f t="shared" si="3"/>
        <v/>
      </c>
      <c r="U37" s="4">
        <f t="shared" si="4"/>
        <v>0</v>
      </c>
      <c r="V37" s="4" t="str">
        <f t="shared" si="5"/>
        <v>Ikke registreret</v>
      </c>
      <c r="W37" s="4">
        <f t="shared" si="6"/>
        <v>0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>
        <f t="shared" si="10"/>
        <v>0</v>
      </c>
      <c r="AK37" s="4" t="e">
        <f>IF(NOT(ISNUMBER(Ugeindtastning!I40)),NA(),Ugeindtastning!I40)</f>
        <v>#N/A</v>
      </c>
      <c r="AL37" s="4" t="e">
        <f t="shared" si="11"/>
        <v>#N/A</v>
      </c>
      <c r="AM37" s="4" t="e">
        <f t="shared" si="12"/>
        <v>#N/A</v>
      </c>
      <c r="AN37" s="4" t="e">
        <f t="shared" si="13"/>
        <v>#N/A</v>
      </c>
      <c r="AO37" s="4" t="e">
        <f t="shared" si="14"/>
        <v>#N/A</v>
      </c>
      <c r="AP37" s="4" t="e">
        <f t="shared" si="15"/>
        <v>#N/A</v>
      </c>
    </row>
    <row r="38" spans="1:42" s="5" customFormat="1" ht="23" customHeight="1">
      <c r="A38" s="6" t="str">
        <f>TEXT(Ugeindtastning!A41,"dd/mm")</f>
        <v>08/03</v>
      </c>
      <c r="B38" s="143">
        <f>Ugeindtastning!B41</f>
        <v>46460</v>
      </c>
      <c r="C38" s="142">
        <f>B38-Ugeindtastning!A41+1</f>
        <v>7</v>
      </c>
      <c r="D38" s="142">
        <f>MAX(0,MIN(B38,$C$5)-MAX(Ugeindtastning!A41,$B$5)+1)</f>
        <v>0</v>
      </c>
      <c r="E38" s="142">
        <f>MAX(0,MIN(B38,$C$6)-MAX(Ugeindtastning!A41,$B$6)+1)</f>
        <v>7</v>
      </c>
      <c r="F38" s="142">
        <f>MAX(0,MIN(B38,$C$7)-MAX(Ugeindtastning!A41,$B$7)+1)</f>
        <v>0</v>
      </c>
      <c r="G38" s="142">
        <f t="shared" si="0"/>
        <v>5</v>
      </c>
      <c r="H38" s="142">
        <f t="shared" si="1"/>
        <v>7</v>
      </c>
      <c r="I38" s="142" t="str">
        <f>IF(NOT(ISNUMBER(Ugeindtastning!D41)),"",Ugeindtastning!D41)</f>
        <v/>
      </c>
      <c r="J38" s="142">
        <f>SUM(G$12:G38)</f>
        <v>101.85714285714286</v>
      </c>
      <c r="K38" s="142">
        <f>SUM(H$12:H38)</f>
        <v>155.85714285714286</v>
      </c>
      <c r="L38" s="57" t="e">
        <f>IF(OR(B38&gt;$B$2,COUNT(I$12:I38)&lt;ROWS(I$12:I38)),NA(),SUM(I$12:I38))</f>
        <v>#N/A</v>
      </c>
      <c r="M38" s="4" t="e">
        <f>IF(NOT(ISNUMBER(Ugeindtastning!E41)),NA(),Ugeindtastning!E41)</f>
        <v>#N/A</v>
      </c>
      <c r="N38" s="4" t="e">
        <f>IF(NOT(ISNUMBER(Ugeindtastning!F41)),NA(),Ugeindtastning!F41)</f>
        <v>#N/A</v>
      </c>
      <c r="O38" s="4" t="str">
        <f>IF(Ugeindtastning!H41&lt;&gt;"",Ugeindtastning!H41,O37)</f>
        <v/>
      </c>
      <c r="P38" s="4" t="str">
        <f>IF(Ugeindtastning!G41&lt;&gt;"",Ugeindtastning!G41,P37)</f>
        <v/>
      </c>
      <c r="Q38" s="4" t="str">
        <f t="shared" si="2"/>
        <v/>
      </c>
      <c r="R38" s="4" t="str">
        <f>IF(OR(NOT(ISNUMBER(Ugeindtastning!I41)),P38="",P38&lt;=0),"",Ugeindtastning!I41/P38)</f>
        <v/>
      </c>
      <c r="S38" s="4" t="str">
        <f>IF(OR(Ugeindtastning!J41="",Ugeindtastning!$B$6="",Ugeindtastning!$B$6&lt;=0),"",Ugeindtastning!J41/Ugeindtastning!$B$6)</f>
        <v/>
      </c>
      <c r="T38" s="4" t="str">
        <f t="shared" si="3"/>
        <v/>
      </c>
      <c r="U38" s="4">
        <f t="shared" si="4"/>
        <v>0</v>
      </c>
      <c r="V38" s="4" t="str">
        <f t="shared" si="5"/>
        <v>Ikke registreret</v>
      </c>
      <c r="W38" s="4">
        <f t="shared" si="6"/>
        <v>0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>
        <f t="shared" si="10"/>
        <v>0</v>
      </c>
      <c r="AK38" s="4" t="e">
        <f>IF(NOT(ISNUMBER(Ugeindtastning!I41)),NA(),Ugeindtastning!I41)</f>
        <v>#N/A</v>
      </c>
      <c r="AL38" s="4" t="e">
        <f t="shared" si="11"/>
        <v>#N/A</v>
      </c>
      <c r="AM38" s="4" t="e">
        <f t="shared" si="12"/>
        <v>#N/A</v>
      </c>
      <c r="AN38" s="4" t="e">
        <f t="shared" si="13"/>
        <v>#N/A</v>
      </c>
      <c r="AO38" s="4" t="e">
        <f t="shared" si="14"/>
        <v>#N/A</v>
      </c>
      <c r="AP38" s="4" t="e">
        <f t="shared" si="15"/>
        <v>#N/A</v>
      </c>
    </row>
    <row r="39" spans="1:42" s="5" customFormat="1" ht="23" customHeight="1">
      <c r="A39" s="6" t="str">
        <f>TEXT(Ugeindtastning!A42,"dd/mm")</f>
        <v>15/03</v>
      </c>
      <c r="B39" s="143">
        <f>Ugeindtastning!B42</f>
        <v>46467</v>
      </c>
      <c r="C39" s="142">
        <f>B39-Ugeindtastning!A42+1</f>
        <v>7</v>
      </c>
      <c r="D39" s="142">
        <f>MAX(0,MIN(B39,$C$5)-MAX(Ugeindtastning!A42,$B$5)+1)</f>
        <v>0</v>
      </c>
      <c r="E39" s="142">
        <f>MAX(0,MIN(B39,$C$6)-MAX(Ugeindtastning!A42,$B$6)+1)</f>
        <v>7</v>
      </c>
      <c r="F39" s="142">
        <f>MAX(0,MIN(B39,$C$7)-MAX(Ugeindtastning!A42,$B$7)+1)</f>
        <v>0</v>
      </c>
      <c r="G39" s="142">
        <f t="shared" si="0"/>
        <v>5</v>
      </c>
      <c r="H39" s="142">
        <f t="shared" si="1"/>
        <v>7</v>
      </c>
      <c r="I39" s="142" t="str">
        <f>IF(NOT(ISNUMBER(Ugeindtastning!D42)),"",Ugeindtastning!D42)</f>
        <v/>
      </c>
      <c r="J39" s="142">
        <f>SUM(G$12:G39)</f>
        <v>106.85714285714286</v>
      </c>
      <c r="K39" s="142">
        <f>SUM(H$12:H39)</f>
        <v>162.85714285714286</v>
      </c>
      <c r="L39" s="57" t="e">
        <f>IF(OR(B39&gt;$B$2,COUNT(I$12:I39)&lt;ROWS(I$12:I39)),NA(),SUM(I$12:I39))</f>
        <v>#N/A</v>
      </c>
      <c r="M39" s="4" t="e">
        <f>IF(NOT(ISNUMBER(Ugeindtastning!E42)),NA(),Ugeindtastning!E42)</f>
        <v>#N/A</v>
      </c>
      <c r="N39" s="4" t="e">
        <f>IF(NOT(ISNUMBER(Ugeindtastning!F42)),NA(),Ugeindtastning!F42)</f>
        <v>#N/A</v>
      </c>
      <c r="O39" s="4" t="str">
        <f>IF(Ugeindtastning!H42&lt;&gt;"",Ugeindtastning!H42,O38)</f>
        <v/>
      </c>
      <c r="P39" s="4" t="str">
        <f>IF(Ugeindtastning!G42&lt;&gt;"",Ugeindtastning!G42,P38)</f>
        <v/>
      </c>
      <c r="Q39" s="4" t="str">
        <f t="shared" si="2"/>
        <v/>
      </c>
      <c r="R39" s="4" t="str">
        <f>IF(OR(NOT(ISNUMBER(Ugeindtastning!I42)),P39="",P39&lt;=0),"",Ugeindtastning!I42/P39)</f>
        <v/>
      </c>
      <c r="S39" s="4" t="str">
        <f>IF(OR(Ugeindtastning!J42="",Ugeindtastning!$B$6="",Ugeindtastning!$B$6&lt;=0),"",Ugeindtastning!J42/Ugeindtastning!$B$6)</f>
        <v/>
      </c>
      <c r="T39" s="4" t="str">
        <f t="shared" si="3"/>
        <v/>
      </c>
      <c r="U39" s="4">
        <f t="shared" si="4"/>
        <v>0</v>
      </c>
      <c r="V39" s="4" t="str">
        <f t="shared" si="5"/>
        <v>Ikke registreret</v>
      </c>
      <c r="W39" s="4">
        <f t="shared" si="6"/>
        <v>0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>
        <f t="shared" si="10"/>
        <v>0</v>
      </c>
      <c r="AK39" s="4" t="e">
        <f>IF(NOT(ISNUMBER(Ugeindtastning!I42)),NA(),Ugeindtastning!I42)</f>
        <v>#N/A</v>
      </c>
      <c r="AL39" s="4" t="e">
        <f t="shared" si="11"/>
        <v>#N/A</v>
      </c>
      <c r="AM39" s="4" t="e">
        <f t="shared" si="12"/>
        <v>#N/A</v>
      </c>
      <c r="AN39" s="4" t="e">
        <f t="shared" si="13"/>
        <v>#N/A</v>
      </c>
      <c r="AO39" s="4" t="e">
        <f t="shared" si="14"/>
        <v>#N/A</v>
      </c>
      <c r="AP39" s="4" t="e">
        <f t="shared" si="15"/>
        <v>#N/A</v>
      </c>
    </row>
    <row r="40" spans="1:42" s="5" customFormat="1" ht="23" customHeight="1">
      <c r="A40" s="6" t="str">
        <f>TEXT(Ugeindtastning!A43,"dd/mm")</f>
        <v>22/03</v>
      </c>
      <c r="B40" s="143">
        <f>Ugeindtastning!B43</f>
        <v>46474</v>
      </c>
      <c r="C40" s="142">
        <f>B40-Ugeindtastning!A43+1</f>
        <v>7</v>
      </c>
      <c r="D40" s="142">
        <f>MAX(0,MIN(B40,$C$5)-MAX(Ugeindtastning!A43,$B$5)+1)</f>
        <v>0</v>
      </c>
      <c r="E40" s="142">
        <f>MAX(0,MIN(B40,$C$6)-MAX(Ugeindtastning!A43,$B$6)+1)</f>
        <v>7</v>
      </c>
      <c r="F40" s="142">
        <f>MAX(0,MIN(B40,$C$7)-MAX(Ugeindtastning!A43,$B$7)+1)</f>
        <v>0</v>
      </c>
      <c r="G40" s="142">
        <f t="shared" si="0"/>
        <v>5</v>
      </c>
      <c r="H40" s="142">
        <f t="shared" si="1"/>
        <v>7</v>
      </c>
      <c r="I40" s="142" t="str">
        <f>IF(NOT(ISNUMBER(Ugeindtastning!D43)),"",Ugeindtastning!D43)</f>
        <v/>
      </c>
      <c r="J40" s="142">
        <f>SUM(G$12:G40)</f>
        <v>111.85714285714286</v>
      </c>
      <c r="K40" s="142">
        <f>SUM(H$12:H40)</f>
        <v>169.85714285714286</v>
      </c>
      <c r="L40" s="57" t="e">
        <f>IF(OR(B40&gt;$B$2,COUNT(I$12:I40)&lt;ROWS(I$12:I40)),NA(),SUM(I$12:I40))</f>
        <v>#N/A</v>
      </c>
      <c r="M40" s="4" t="e">
        <f>IF(NOT(ISNUMBER(Ugeindtastning!E43)),NA(),Ugeindtastning!E43)</f>
        <v>#N/A</v>
      </c>
      <c r="N40" s="4" t="e">
        <f>IF(NOT(ISNUMBER(Ugeindtastning!F43)),NA(),Ugeindtastning!F43)</f>
        <v>#N/A</v>
      </c>
      <c r="O40" s="4" t="str">
        <f>IF(Ugeindtastning!H43&lt;&gt;"",Ugeindtastning!H43,O39)</f>
        <v/>
      </c>
      <c r="P40" s="4" t="str">
        <f>IF(Ugeindtastning!G43&lt;&gt;"",Ugeindtastning!G43,P39)</f>
        <v/>
      </c>
      <c r="Q40" s="4" t="str">
        <f t="shared" si="2"/>
        <v/>
      </c>
      <c r="R40" s="4" t="str">
        <f>IF(OR(NOT(ISNUMBER(Ugeindtastning!I43)),P40="",P40&lt;=0),"",Ugeindtastning!I43/P40)</f>
        <v/>
      </c>
      <c r="S40" s="4" t="str">
        <f>IF(OR(Ugeindtastning!J43="",Ugeindtastning!$B$6="",Ugeindtastning!$B$6&lt;=0),"",Ugeindtastning!J43/Ugeindtastning!$B$6)</f>
        <v/>
      </c>
      <c r="T40" s="4" t="str">
        <f t="shared" si="3"/>
        <v/>
      </c>
      <c r="U40" s="4">
        <f t="shared" si="4"/>
        <v>0</v>
      </c>
      <c r="V40" s="4" t="str">
        <f t="shared" si="5"/>
        <v>Ikke registreret</v>
      </c>
      <c r="W40" s="4">
        <f t="shared" si="6"/>
        <v>0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>
        <f t="shared" si="10"/>
        <v>0</v>
      </c>
      <c r="AK40" s="4" t="e">
        <f>IF(NOT(ISNUMBER(Ugeindtastning!I43)),NA(),Ugeindtastning!I43)</f>
        <v>#N/A</v>
      </c>
      <c r="AL40" s="4" t="e">
        <f t="shared" si="11"/>
        <v>#N/A</v>
      </c>
      <c r="AM40" s="4" t="e">
        <f t="shared" si="12"/>
        <v>#N/A</v>
      </c>
      <c r="AN40" s="4" t="e">
        <f t="shared" si="13"/>
        <v>#N/A</v>
      </c>
      <c r="AO40" s="4" t="e">
        <f t="shared" si="14"/>
        <v>#N/A</v>
      </c>
      <c r="AP40" s="4" t="e">
        <f t="shared" si="15"/>
        <v>#N/A</v>
      </c>
    </row>
    <row r="41" spans="1:42" s="5" customFormat="1" ht="23" customHeight="1">
      <c r="A41" s="6" t="str">
        <f>TEXT(Ugeindtastning!A44,"dd/mm")</f>
        <v>29/03</v>
      </c>
      <c r="B41" s="143">
        <f>Ugeindtastning!B44</f>
        <v>46481</v>
      </c>
      <c r="C41" s="142">
        <f>B41-Ugeindtastning!A44+1</f>
        <v>7</v>
      </c>
      <c r="D41" s="142">
        <f>MAX(0,MIN(B41,$C$5)-MAX(Ugeindtastning!A44,$B$5)+1)</f>
        <v>0</v>
      </c>
      <c r="E41" s="142">
        <f>MAX(0,MIN(B41,$C$6)-MAX(Ugeindtastning!A44,$B$6)+1)</f>
        <v>3</v>
      </c>
      <c r="F41" s="142">
        <f>MAX(0,MIN(B41,$C$7)-MAX(Ugeindtastning!A44,$B$7)+1)</f>
        <v>4</v>
      </c>
      <c r="G41" s="142">
        <f t="shared" si="0"/>
        <v>6.1428571428571432</v>
      </c>
      <c r="H41" s="142">
        <f t="shared" si="1"/>
        <v>8.1428571428571423</v>
      </c>
      <c r="I41" s="142" t="str">
        <f>IF(NOT(ISNUMBER(Ugeindtastning!D44)),"",Ugeindtastning!D44)</f>
        <v/>
      </c>
      <c r="J41" s="142">
        <f>SUM(G$12:G41)</f>
        <v>118</v>
      </c>
      <c r="K41" s="142">
        <f>SUM(H$12:H41)</f>
        <v>178</v>
      </c>
      <c r="L41" s="57" t="e">
        <f>IF(OR(B41&gt;$B$2,COUNT(I$12:I41)&lt;ROWS(I$12:I41)),NA(),SUM(I$12:I41))</f>
        <v>#N/A</v>
      </c>
      <c r="M41" s="4" t="e">
        <f>IF(NOT(ISNUMBER(Ugeindtastning!E44)),NA(),Ugeindtastning!E44)</f>
        <v>#N/A</v>
      </c>
      <c r="N41" s="4" t="e">
        <f>IF(NOT(ISNUMBER(Ugeindtastning!F44)),NA(),Ugeindtastning!F44)</f>
        <v>#N/A</v>
      </c>
      <c r="O41" s="4" t="str">
        <f>IF(Ugeindtastning!H44&lt;&gt;"",Ugeindtastning!H44,O40)</f>
        <v/>
      </c>
      <c r="P41" s="4" t="str">
        <f>IF(Ugeindtastning!G44&lt;&gt;"",Ugeindtastning!G44,P40)</f>
        <v/>
      </c>
      <c r="Q41" s="4" t="str">
        <f t="shared" si="2"/>
        <v/>
      </c>
      <c r="R41" s="4" t="str">
        <f>IF(OR(NOT(ISNUMBER(Ugeindtastning!I44)),P41="",P41&lt;=0),"",Ugeindtastning!I44/P41)</f>
        <v/>
      </c>
      <c r="S41" s="4" t="str">
        <f>IF(OR(Ugeindtastning!J44="",Ugeindtastning!$B$6="",Ugeindtastning!$B$6&lt;=0),"",Ugeindtastning!J44/Ugeindtastning!$B$6)</f>
        <v/>
      </c>
      <c r="T41" s="4" t="str">
        <f t="shared" si="3"/>
        <v/>
      </c>
      <c r="U41" s="4">
        <f t="shared" si="4"/>
        <v>0</v>
      </c>
      <c r="V41" s="4" t="str">
        <f t="shared" si="5"/>
        <v>Ikke registreret</v>
      </c>
      <c r="W41" s="4">
        <f t="shared" si="6"/>
        <v>0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>
        <f t="shared" si="10"/>
        <v>0</v>
      </c>
      <c r="AK41" s="4" t="e">
        <f>IF(NOT(ISNUMBER(Ugeindtastning!I44)),NA(),Ugeindtastning!I44)</f>
        <v>#N/A</v>
      </c>
      <c r="AL41" s="4" t="e">
        <f t="shared" si="11"/>
        <v>#N/A</v>
      </c>
      <c r="AM41" s="4" t="e">
        <f t="shared" si="12"/>
        <v>#N/A</v>
      </c>
      <c r="AN41" s="4" t="e">
        <f t="shared" si="13"/>
        <v>#N/A</v>
      </c>
      <c r="AO41" s="4" t="e">
        <f t="shared" si="14"/>
        <v>#N/A</v>
      </c>
      <c r="AP41" s="4" t="e">
        <f t="shared" si="15"/>
        <v>#N/A</v>
      </c>
    </row>
    <row r="42" spans="1:42" s="5" customFormat="1" ht="23" customHeight="1">
      <c r="A42" s="6" t="str">
        <f>TEXT(Ugeindtastning!A45,"dd/mm")</f>
        <v>05/04</v>
      </c>
      <c r="B42" s="143">
        <f>Ugeindtastning!B45</f>
        <v>46488</v>
      </c>
      <c r="C42" s="142">
        <f>B42-Ugeindtastning!A45+1</f>
        <v>7</v>
      </c>
      <c r="D42" s="142">
        <f>MAX(0,MIN(B42,$C$5)-MAX(Ugeindtastning!A45,$B$5)+1)</f>
        <v>0</v>
      </c>
      <c r="E42" s="142">
        <f>MAX(0,MIN(B42,$C$6)-MAX(Ugeindtastning!A45,$B$6)+1)</f>
        <v>0</v>
      </c>
      <c r="F42" s="142">
        <f>MAX(0,MIN(B42,$C$7)-MAX(Ugeindtastning!A45,$B$7)+1)</f>
        <v>7</v>
      </c>
      <c r="G42" s="142">
        <f t="shared" si="0"/>
        <v>7</v>
      </c>
      <c r="H42" s="142">
        <f t="shared" si="1"/>
        <v>9</v>
      </c>
      <c r="I42" s="142" t="str">
        <f>IF(NOT(ISNUMBER(Ugeindtastning!D45)),"",Ugeindtastning!D45)</f>
        <v/>
      </c>
      <c r="J42" s="142">
        <f>SUM(G$12:G42)</f>
        <v>125</v>
      </c>
      <c r="K42" s="142">
        <f>SUM(H$12:H42)</f>
        <v>187</v>
      </c>
      <c r="L42" s="57" t="e">
        <f>IF(OR(B42&gt;$B$2,COUNT(I$12:I42)&lt;ROWS(I$12:I42)),NA(),SUM(I$12:I42))</f>
        <v>#N/A</v>
      </c>
      <c r="M42" s="4" t="e">
        <f>IF(NOT(ISNUMBER(Ugeindtastning!E45)),NA(),Ugeindtastning!E45)</f>
        <v>#N/A</v>
      </c>
      <c r="N42" s="4" t="e">
        <f>IF(NOT(ISNUMBER(Ugeindtastning!F45)),NA(),Ugeindtastning!F45)</f>
        <v>#N/A</v>
      </c>
      <c r="O42" s="4" t="str">
        <f>IF(Ugeindtastning!H45&lt;&gt;"",Ugeindtastning!H45,O41)</f>
        <v/>
      </c>
      <c r="P42" s="4" t="str">
        <f>IF(Ugeindtastning!G45&lt;&gt;"",Ugeindtastning!G45,P41)</f>
        <v/>
      </c>
      <c r="Q42" s="4" t="str">
        <f t="shared" si="2"/>
        <v/>
      </c>
      <c r="R42" s="4" t="str">
        <f>IF(OR(NOT(ISNUMBER(Ugeindtastning!I45)),P42="",P42&lt;=0),"",Ugeindtastning!I45/P42)</f>
        <v/>
      </c>
      <c r="S42" s="4" t="str">
        <f>IF(OR(Ugeindtastning!J45="",Ugeindtastning!$B$6="",Ugeindtastning!$B$6&lt;=0),"",Ugeindtastning!J45/Ugeindtastning!$B$6)</f>
        <v/>
      </c>
      <c r="T42" s="4" t="str">
        <f t="shared" si="3"/>
        <v/>
      </c>
      <c r="U42" s="4">
        <f t="shared" si="4"/>
        <v>0</v>
      </c>
      <c r="V42" s="4" t="str">
        <f t="shared" si="5"/>
        <v>Ikke registreret</v>
      </c>
      <c r="W42" s="4">
        <f t="shared" si="6"/>
        <v>0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>
        <f t="shared" si="10"/>
        <v>0</v>
      </c>
      <c r="AK42" s="4" t="e">
        <f>IF(NOT(ISNUMBER(Ugeindtastning!I45)),NA(),Ugeindtastning!I45)</f>
        <v>#N/A</v>
      </c>
      <c r="AL42" s="4" t="e">
        <f t="shared" si="11"/>
        <v>#N/A</v>
      </c>
      <c r="AM42" s="4" t="e">
        <f t="shared" si="12"/>
        <v>#N/A</v>
      </c>
      <c r="AN42" s="4" t="e">
        <f t="shared" si="13"/>
        <v>#N/A</v>
      </c>
      <c r="AO42" s="4" t="e">
        <f t="shared" si="14"/>
        <v>#N/A</v>
      </c>
      <c r="AP42" s="4" t="e">
        <f t="shared" si="15"/>
        <v>#N/A</v>
      </c>
    </row>
    <row r="43" spans="1:42" s="5" customFormat="1" ht="23" customHeight="1">
      <c r="A43" s="6" t="str">
        <f>TEXT(Ugeindtastning!A46,"dd/mm")</f>
        <v>12/04</v>
      </c>
      <c r="B43" s="143">
        <f>Ugeindtastning!B46</f>
        <v>46495</v>
      </c>
      <c r="C43" s="142">
        <f>B43-Ugeindtastning!A46+1</f>
        <v>7</v>
      </c>
      <c r="D43" s="142">
        <f>MAX(0,MIN(B43,$C$5)-MAX(Ugeindtastning!A46,$B$5)+1)</f>
        <v>0</v>
      </c>
      <c r="E43" s="142">
        <f>MAX(0,MIN(B43,$C$6)-MAX(Ugeindtastning!A46,$B$6)+1)</f>
        <v>0</v>
      </c>
      <c r="F43" s="142">
        <f>MAX(0,MIN(B43,$C$7)-MAX(Ugeindtastning!A46,$B$7)+1)</f>
        <v>7</v>
      </c>
      <c r="G43" s="142">
        <f t="shared" si="0"/>
        <v>7</v>
      </c>
      <c r="H43" s="142">
        <f t="shared" si="1"/>
        <v>9</v>
      </c>
      <c r="I43" s="142" t="str">
        <f>IF(NOT(ISNUMBER(Ugeindtastning!D46)),"",Ugeindtastning!D46)</f>
        <v/>
      </c>
      <c r="J43" s="142">
        <f>SUM(G$12:G43)</f>
        <v>132</v>
      </c>
      <c r="K43" s="142">
        <f>SUM(H$12:H43)</f>
        <v>196</v>
      </c>
      <c r="L43" s="57" t="e">
        <f>IF(OR(B43&gt;$B$2,COUNT(I$12:I43)&lt;ROWS(I$12:I43)),NA(),SUM(I$12:I43))</f>
        <v>#N/A</v>
      </c>
      <c r="M43" s="4" t="e">
        <f>IF(NOT(ISNUMBER(Ugeindtastning!E46)),NA(),Ugeindtastning!E46)</f>
        <v>#N/A</v>
      </c>
      <c r="N43" s="4" t="e">
        <f>IF(NOT(ISNUMBER(Ugeindtastning!F46)),NA(),Ugeindtastning!F46)</f>
        <v>#N/A</v>
      </c>
      <c r="O43" s="4" t="str">
        <f>IF(Ugeindtastning!H46&lt;&gt;"",Ugeindtastning!H46,O42)</f>
        <v/>
      </c>
      <c r="P43" s="4" t="str">
        <f>IF(Ugeindtastning!G46&lt;&gt;"",Ugeindtastning!G46,P42)</f>
        <v/>
      </c>
      <c r="Q43" s="4" t="str">
        <f t="shared" si="2"/>
        <v/>
      </c>
      <c r="R43" s="4" t="str">
        <f>IF(OR(NOT(ISNUMBER(Ugeindtastning!I46)),P43="",P43&lt;=0),"",Ugeindtastning!I46/P43)</f>
        <v/>
      </c>
      <c r="S43" s="4" t="str">
        <f>IF(OR(Ugeindtastning!J46="",Ugeindtastning!$B$6="",Ugeindtastning!$B$6&lt;=0),"",Ugeindtastning!J46/Ugeindtastning!$B$6)</f>
        <v/>
      </c>
      <c r="T43" s="4" t="str">
        <f t="shared" si="3"/>
        <v/>
      </c>
      <c r="U43" s="4">
        <f t="shared" si="4"/>
        <v>0</v>
      </c>
      <c r="V43" s="4" t="str">
        <f t="shared" si="5"/>
        <v>Ikke registreret</v>
      </c>
      <c r="W43" s="4">
        <f t="shared" si="6"/>
        <v>0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>
        <f t="shared" si="10"/>
        <v>0</v>
      </c>
      <c r="AK43" s="4" t="e">
        <f>IF(NOT(ISNUMBER(Ugeindtastning!I46)),NA(),Ugeindtastning!I46)</f>
        <v>#N/A</v>
      </c>
      <c r="AL43" s="4" t="e">
        <f t="shared" si="11"/>
        <v>#N/A</v>
      </c>
      <c r="AM43" s="4" t="e">
        <f t="shared" si="12"/>
        <v>#N/A</v>
      </c>
      <c r="AN43" s="4" t="e">
        <f t="shared" si="13"/>
        <v>#N/A</v>
      </c>
      <c r="AO43" s="4" t="e">
        <f t="shared" si="14"/>
        <v>#N/A</v>
      </c>
      <c r="AP43" s="4" t="e">
        <f t="shared" si="15"/>
        <v>#N/A</v>
      </c>
    </row>
    <row r="44" spans="1:42" s="5" customFormat="1" ht="23" customHeight="1">
      <c r="A44" s="6" t="str">
        <f>TEXT(Ugeindtastning!A47,"dd/mm")</f>
        <v>19/04</v>
      </c>
      <c r="B44" s="143">
        <f>Ugeindtastning!B47</f>
        <v>46502</v>
      </c>
      <c r="C44" s="142">
        <f>B44-Ugeindtastning!A47+1</f>
        <v>7</v>
      </c>
      <c r="D44" s="142">
        <f>MAX(0,MIN(B44,$C$5)-MAX(Ugeindtastning!A47,$B$5)+1)</f>
        <v>0</v>
      </c>
      <c r="E44" s="142">
        <f>MAX(0,MIN(B44,$C$6)-MAX(Ugeindtastning!A47,$B$6)+1)</f>
        <v>0</v>
      </c>
      <c r="F44" s="142">
        <f>MAX(0,MIN(B44,$C$7)-MAX(Ugeindtastning!A47,$B$7)+1)</f>
        <v>7</v>
      </c>
      <c r="G44" s="142">
        <f t="shared" si="0"/>
        <v>7</v>
      </c>
      <c r="H44" s="142">
        <f t="shared" si="1"/>
        <v>9</v>
      </c>
      <c r="I44" s="142" t="str">
        <f>IF(NOT(ISNUMBER(Ugeindtastning!D47)),"",Ugeindtastning!D47)</f>
        <v/>
      </c>
      <c r="J44" s="142">
        <f>SUM(G$12:G44)</f>
        <v>139</v>
      </c>
      <c r="K44" s="142">
        <f>SUM(H$12:H44)</f>
        <v>205</v>
      </c>
      <c r="L44" s="57" t="e">
        <f>IF(OR(B44&gt;$B$2,COUNT(I$12:I44)&lt;ROWS(I$12:I44)),NA(),SUM(I$12:I44))</f>
        <v>#N/A</v>
      </c>
      <c r="M44" s="4" t="e">
        <f>IF(NOT(ISNUMBER(Ugeindtastning!E47)),NA(),Ugeindtastning!E47)</f>
        <v>#N/A</v>
      </c>
      <c r="N44" s="4" t="e">
        <f>IF(NOT(ISNUMBER(Ugeindtastning!F47)),NA(),Ugeindtastning!F47)</f>
        <v>#N/A</v>
      </c>
      <c r="O44" s="4" t="str">
        <f>IF(Ugeindtastning!H47&lt;&gt;"",Ugeindtastning!H47,O43)</f>
        <v/>
      </c>
      <c r="P44" s="4" t="str">
        <f>IF(Ugeindtastning!G47&lt;&gt;"",Ugeindtastning!G47,P43)</f>
        <v/>
      </c>
      <c r="Q44" s="4" t="str">
        <f t="shared" si="2"/>
        <v/>
      </c>
      <c r="R44" s="4" t="str">
        <f>IF(OR(NOT(ISNUMBER(Ugeindtastning!I47)),P44="",P44&lt;=0),"",Ugeindtastning!I47/P44)</f>
        <v/>
      </c>
      <c r="S44" s="4" t="str">
        <f>IF(OR(Ugeindtastning!J47="",Ugeindtastning!$B$6="",Ugeindtastning!$B$6&lt;=0),"",Ugeindtastning!J47/Ugeindtastning!$B$6)</f>
        <v/>
      </c>
      <c r="T44" s="4" t="str">
        <f t="shared" si="3"/>
        <v/>
      </c>
      <c r="U44" s="4">
        <f t="shared" si="4"/>
        <v>0</v>
      </c>
      <c r="V44" s="4" t="str">
        <f t="shared" si="5"/>
        <v>Ikke registreret</v>
      </c>
      <c r="W44" s="4">
        <f t="shared" si="6"/>
        <v>0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>
        <f t="shared" si="10"/>
        <v>0</v>
      </c>
      <c r="AK44" s="4" t="e">
        <f>IF(NOT(ISNUMBER(Ugeindtastning!I47)),NA(),Ugeindtastning!I47)</f>
        <v>#N/A</v>
      </c>
      <c r="AL44" s="4" t="e">
        <f t="shared" si="11"/>
        <v>#N/A</v>
      </c>
      <c r="AM44" s="4" t="e">
        <f t="shared" si="12"/>
        <v>#N/A</v>
      </c>
      <c r="AN44" s="4" t="e">
        <f t="shared" si="13"/>
        <v>#N/A</v>
      </c>
      <c r="AO44" s="4" t="e">
        <f t="shared" si="14"/>
        <v>#N/A</v>
      </c>
      <c r="AP44" s="4" t="e">
        <f t="shared" si="15"/>
        <v>#N/A</v>
      </c>
    </row>
    <row r="45" spans="1:42" s="5" customFormat="1" ht="23" customHeight="1">
      <c r="A45" s="6" t="str">
        <f>TEXT(Ugeindtastning!A48,"dd/mm")</f>
        <v>26/04</v>
      </c>
      <c r="B45" s="143">
        <f>Ugeindtastning!B48</f>
        <v>46509</v>
      </c>
      <c r="C45" s="142">
        <f>B45-Ugeindtastning!A48+1</f>
        <v>7</v>
      </c>
      <c r="D45" s="142">
        <f>MAX(0,MIN(B45,$C$5)-MAX(Ugeindtastning!A48,$B$5)+1)</f>
        <v>0</v>
      </c>
      <c r="E45" s="142">
        <f>MAX(0,MIN(B45,$C$6)-MAX(Ugeindtastning!A48,$B$6)+1)</f>
        <v>0</v>
      </c>
      <c r="F45" s="142">
        <f>MAX(0,MIN(B45,$C$7)-MAX(Ugeindtastning!A48,$B$7)+1)</f>
        <v>7</v>
      </c>
      <c r="G45" s="142">
        <f t="shared" si="0"/>
        <v>7</v>
      </c>
      <c r="H45" s="142">
        <f t="shared" si="1"/>
        <v>9</v>
      </c>
      <c r="I45" s="142" t="str">
        <f>IF(NOT(ISNUMBER(Ugeindtastning!D48)),"",Ugeindtastning!D48)</f>
        <v/>
      </c>
      <c r="J45" s="142">
        <f>SUM(G$12:G45)</f>
        <v>146</v>
      </c>
      <c r="K45" s="142">
        <f>SUM(H$12:H45)</f>
        <v>214</v>
      </c>
      <c r="L45" s="57" t="e">
        <f>IF(OR(B45&gt;$B$2,COUNT(I$12:I45)&lt;ROWS(I$12:I45)),NA(),SUM(I$12:I45))</f>
        <v>#N/A</v>
      </c>
      <c r="M45" s="4" t="e">
        <f>IF(NOT(ISNUMBER(Ugeindtastning!E48)),NA(),Ugeindtastning!E48)</f>
        <v>#N/A</v>
      </c>
      <c r="N45" s="4" t="e">
        <f>IF(NOT(ISNUMBER(Ugeindtastning!F48)),NA(),Ugeindtastning!F48)</f>
        <v>#N/A</v>
      </c>
      <c r="O45" s="4" t="str">
        <f>IF(Ugeindtastning!H48&lt;&gt;"",Ugeindtastning!H48,O44)</f>
        <v/>
      </c>
      <c r="P45" s="4" t="str">
        <f>IF(Ugeindtastning!G48&lt;&gt;"",Ugeindtastning!G48,P44)</f>
        <v/>
      </c>
      <c r="Q45" s="4" t="str">
        <f t="shared" si="2"/>
        <v/>
      </c>
      <c r="R45" s="4" t="str">
        <f>IF(OR(NOT(ISNUMBER(Ugeindtastning!I48)),P45="",P45&lt;=0),"",Ugeindtastning!I48/P45)</f>
        <v/>
      </c>
      <c r="S45" s="4" t="str">
        <f>IF(OR(Ugeindtastning!J48="",Ugeindtastning!$B$6="",Ugeindtastning!$B$6&lt;=0),"",Ugeindtastning!J48/Ugeindtastning!$B$6)</f>
        <v/>
      </c>
      <c r="T45" s="4" t="str">
        <f t="shared" si="3"/>
        <v/>
      </c>
      <c r="U45" s="4">
        <f t="shared" si="4"/>
        <v>0</v>
      </c>
      <c r="V45" s="4" t="str">
        <f t="shared" si="5"/>
        <v>Ikke registreret</v>
      </c>
      <c r="W45" s="4">
        <f t="shared" si="6"/>
        <v>0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>
        <f t="shared" si="10"/>
        <v>0</v>
      </c>
      <c r="AK45" s="4" t="e">
        <f>IF(NOT(ISNUMBER(Ugeindtastning!I48)),NA(),Ugeindtastning!I48)</f>
        <v>#N/A</v>
      </c>
      <c r="AL45" s="4" t="e">
        <f t="shared" si="11"/>
        <v>#N/A</v>
      </c>
      <c r="AM45" s="4" t="e">
        <f t="shared" si="12"/>
        <v>#N/A</v>
      </c>
      <c r="AN45" s="4" t="e">
        <f t="shared" si="13"/>
        <v>#N/A</v>
      </c>
      <c r="AO45" s="4" t="e">
        <f t="shared" si="14"/>
        <v>#N/A</v>
      </c>
      <c r="AP45" s="4" t="e">
        <f t="shared" si="15"/>
        <v>#N/A</v>
      </c>
    </row>
    <row r="46" spans="1:42" s="5" customFormat="1" ht="23" customHeight="1">
      <c r="A46" s="6" t="str">
        <f>TEXT(Ugeindtastning!A49,"dd/mm")</f>
        <v>03/05</v>
      </c>
      <c r="B46" s="143">
        <f>Ugeindtastning!B49</f>
        <v>46516</v>
      </c>
      <c r="C46" s="142">
        <f>B46-Ugeindtastning!A49+1</f>
        <v>7</v>
      </c>
      <c r="D46" s="142">
        <f>MAX(0,MIN(B46,$C$5)-MAX(Ugeindtastning!A49,$B$5)+1)</f>
        <v>0</v>
      </c>
      <c r="E46" s="142">
        <f>MAX(0,MIN(B46,$C$6)-MAX(Ugeindtastning!A49,$B$6)+1)</f>
        <v>0</v>
      </c>
      <c r="F46" s="142">
        <f>MAX(0,MIN(B46,$C$7)-MAX(Ugeindtastning!A49,$B$7)+1)</f>
        <v>7</v>
      </c>
      <c r="G46" s="142">
        <f t="shared" si="0"/>
        <v>7</v>
      </c>
      <c r="H46" s="142">
        <f t="shared" si="1"/>
        <v>9</v>
      </c>
      <c r="I46" s="142" t="str">
        <f>IF(NOT(ISNUMBER(Ugeindtastning!D49)),"",Ugeindtastning!D49)</f>
        <v/>
      </c>
      <c r="J46" s="142">
        <f>SUM(G$12:G46)</f>
        <v>153</v>
      </c>
      <c r="K46" s="142">
        <f>SUM(H$12:H46)</f>
        <v>223</v>
      </c>
      <c r="L46" s="57" t="e">
        <f>IF(OR(B46&gt;$B$2,COUNT(I$12:I46)&lt;ROWS(I$12:I46)),NA(),SUM(I$12:I46))</f>
        <v>#N/A</v>
      </c>
      <c r="M46" s="4" t="e">
        <f>IF(NOT(ISNUMBER(Ugeindtastning!E49)),NA(),Ugeindtastning!E49)</f>
        <v>#N/A</v>
      </c>
      <c r="N46" s="4" t="e">
        <f>IF(NOT(ISNUMBER(Ugeindtastning!F49)),NA(),Ugeindtastning!F49)</f>
        <v>#N/A</v>
      </c>
      <c r="O46" s="4" t="str">
        <f>IF(Ugeindtastning!H49&lt;&gt;"",Ugeindtastning!H49,O45)</f>
        <v/>
      </c>
      <c r="P46" s="4" t="str">
        <f>IF(Ugeindtastning!G49&lt;&gt;"",Ugeindtastning!G49,P45)</f>
        <v/>
      </c>
      <c r="Q46" s="4" t="str">
        <f t="shared" si="2"/>
        <v/>
      </c>
      <c r="R46" s="4" t="str">
        <f>IF(OR(NOT(ISNUMBER(Ugeindtastning!I49)),P46="",P46&lt;=0),"",Ugeindtastning!I49/P46)</f>
        <v/>
      </c>
      <c r="S46" s="4" t="str">
        <f>IF(OR(Ugeindtastning!J49="",Ugeindtastning!$B$6="",Ugeindtastning!$B$6&lt;=0),"",Ugeindtastning!J49/Ugeindtastning!$B$6)</f>
        <v/>
      </c>
      <c r="T46" s="4" t="str">
        <f t="shared" si="3"/>
        <v/>
      </c>
      <c r="U46" s="4">
        <f t="shared" si="4"/>
        <v>0</v>
      </c>
      <c r="V46" s="4" t="str">
        <f t="shared" si="5"/>
        <v>Ikke registreret</v>
      </c>
      <c r="W46" s="4">
        <f t="shared" si="6"/>
        <v>0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>
        <f t="shared" si="10"/>
        <v>0</v>
      </c>
      <c r="AK46" s="4" t="e">
        <f>IF(NOT(ISNUMBER(Ugeindtastning!I49)),NA(),Ugeindtastning!I49)</f>
        <v>#N/A</v>
      </c>
      <c r="AL46" s="4" t="e">
        <f t="shared" si="11"/>
        <v>#N/A</v>
      </c>
      <c r="AM46" s="4" t="e">
        <f t="shared" si="12"/>
        <v>#N/A</v>
      </c>
      <c r="AN46" s="4" t="e">
        <f t="shared" si="13"/>
        <v>#N/A</v>
      </c>
      <c r="AO46" s="4" t="e">
        <f t="shared" si="14"/>
        <v>#N/A</v>
      </c>
      <c r="AP46" s="4" t="e">
        <f t="shared" si="15"/>
        <v>#N/A</v>
      </c>
    </row>
    <row r="47" spans="1:42" s="5" customFormat="1" ht="23" customHeight="1">
      <c r="A47" s="6" t="str">
        <f>TEXT(Ugeindtastning!A50,"dd/mm")</f>
        <v>10/05</v>
      </c>
      <c r="B47" s="143">
        <f>Ugeindtastning!B50</f>
        <v>46523</v>
      </c>
      <c r="C47" s="142">
        <f>B47-Ugeindtastning!A50+1</f>
        <v>7</v>
      </c>
      <c r="D47" s="142">
        <f>MAX(0,MIN(B47,$C$5)-MAX(Ugeindtastning!A50,$B$5)+1)</f>
        <v>0</v>
      </c>
      <c r="E47" s="142">
        <f>MAX(0,MIN(B47,$C$6)-MAX(Ugeindtastning!A50,$B$6)+1)</f>
        <v>0</v>
      </c>
      <c r="F47" s="142">
        <f>MAX(0,MIN(B47,$C$7)-MAX(Ugeindtastning!A50,$B$7)+1)</f>
        <v>7</v>
      </c>
      <c r="G47" s="142">
        <f t="shared" si="0"/>
        <v>7</v>
      </c>
      <c r="H47" s="142">
        <f t="shared" si="1"/>
        <v>9</v>
      </c>
      <c r="I47" s="142" t="str">
        <f>IF(NOT(ISNUMBER(Ugeindtastning!D50)),"",Ugeindtastning!D50)</f>
        <v/>
      </c>
      <c r="J47" s="142">
        <f>SUM(G$12:G47)</f>
        <v>160</v>
      </c>
      <c r="K47" s="142">
        <f>SUM(H$12:H47)</f>
        <v>232</v>
      </c>
      <c r="L47" s="57" t="e">
        <f>IF(OR(B47&gt;$B$2,COUNT(I$12:I47)&lt;ROWS(I$12:I47)),NA(),SUM(I$12:I47))</f>
        <v>#N/A</v>
      </c>
      <c r="M47" s="4" t="e">
        <f>IF(NOT(ISNUMBER(Ugeindtastning!E50)),NA(),Ugeindtastning!E50)</f>
        <v>#N/A</v>
      </c>
      <c r="N47" s="4" t="e">
        <f>IF(NOT(ISNUMBER(Ugeindtastning!F50)),NA(),Ugeindtastning!F50)</f>
        <v>#N/A</v>
      </c>
      <c r="O47" s="4" t="str">
        <f>IF(Ugeindtastning!H50&lt;&gt;"",Ugeindtastning!H50,O46)</f>
        <v/>
      </c>
      <c r="P47" s="4" t="str">
        <f>IF(Ugeindtastning!G50&lt;&gt;"",Ugeindtastning!G50,P46)</f>
        <v/>
      </c>
      <c r="Q47" s="4" t="str">
        <f t="shared" si="2"/>
        <v/>
      </c>
      <c r="R47" s="4" t="str">
        <f>IF(OR(NOT(ISNUMBER(Ugeindtastning!I50)),P47="",P47&lt;=0),"",Ugeindtastning!I50/P47)</f>
        <v/>
      </c>
      <c r="S47" s="4" t="str">
        <f>IF(OR(Ugeindtastning!J50="",Ugeindtastning!$B$6="",Ugeindtastning!$B$6&lt;=0),"",Ugeindtastning!J50/Ugeindtastning!$B$6)</f>
        <v/>
      </c>
      <c r="T47" s="4" t="str">
        <f t="shared" si="3"/>
        <v/>
      </c>
      <c r="U47" s="4">
        <f t="shared" si="4"/>
        <v>0</v>
      </c>
      <c r="V47" s="4" t="str">
        <f t="shared" si="5"/>
        <v>Ikke registreret</v>
      </c>
      <c r="W47" s="4">
        <f t="shared" si="6"/>
        <v>0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>
        <f t="shared" si="10"/>
        <v>0</v>
      </c>
      <c r="AK47" s="4" t="e">
        <f>IF(NOT(ISNUMBER(Ugeindtastning!I50)),NA(),Ugeindtastning!I50)</f>
        <v>#N/A</v>
      </c>
      <c r="AL47" s="4" t="e">
        <f t="shared" si="11"/>
        <v>#N/A</v>
      </c>
      <c r="AM47" s="4" t="e">
        <f t="shared" si="12"/>
        <v>#N/A</v>
      </c>
      <c r="AN47" s="4" t="e">
        <f t="shared" si="13"/>
        <v>#N/A</v>
      </c>
      <c r="AO47" s="4" t="e">
        <f t="shared" si="14"/>
        <v>#N/A</v>
      </c>
      <c r="AP47" s="4" t="e">
        <f t="shared" si="15"/>
        <v>#N/A</v>
      </c>
    </row>
    <row r="48" spans="1:42" s="5" customFormat="1" ht="23" customHeight="1">
      <c r="A48" s="6" t="str">
        <f>TEXT(Ugeindtastning!A51,"dd/mm")</f>
        <v>17/05</v>
      </c>
      <c r="B48" s="143">
        <f>Ugeindtastning!B51</f>
        <v>46530</v>
      </c>
      <c r="C48" s="142">
        <f>B48-Ugeindtastning!A51+1</f>
        <v>7</v>
      </c>
      <c r="D48" s="142">
        <f>MAX(0,MIN(B48,$C$5)-MAX(Ugeindtastning!A51,$B$5)+1)</f>
        <v>0</v>
      </c>
      <c r="E48" s="142">
        <f>MAX(0,MIN(B48,$C$6)-MAX(Ugeindtastning!A51,$B$6)+1)</f>
        <v>0</v>
      </c>
      <c r="F48" s="142">
        <f>MAX(0,MIN(B48,$C$7)-MAX(Ugeindtastning!A51,$B$7)+1)</f>
        <v>7</v>
      </c>
      <c r="G48" s="142">
        <f t="shared" si="0"/>
        <v>7</v>
      </c>
      <c r="H48" s="142">
        <f t="shared" si="1"/>
        <v>9</v>
      </c>
      <c r="I48" s="142" t="str">
        <f>IF(NOT(ISNUMBER(Ugeindtastning!D51)),"",Ugeindtastning!D51)</f>
        <v/>
      </c>
      <c r="J48" s="142">
        <f>SUM(G$12:G48)</f>
        <v>167</v>
      </c>
      <c r="K48" s="142">
        <f>SUM(H$12:H48)</f>
        <v>241</v>
      </c>
      <c r="L48" s="57" t="e">
        <f>IF(OR(B48&gt;$B$2,COUNT(I$12:I48)&lt;ROWS(I$12:I48)),NA(),SUM(I$12:I48))</f>
        <v>#N/A</v>
      </c>
      <c r="M48" s="4" t="e">
        <f>IF(NOT(ISNUMBER(Ugeindtastning!E51)),NA(),Ugeindtastning!E51)</f>
        <v>#N/A</v>
      </c>
      <c r="N48" s="4" t="e">
        <f>IF(NOT(ISNUMBER(Ugeindtastning!F51)),NA(),Ugeindtastning!F51)</f>
        <v>#N/A</v>
      </c>
      <c r="O48" s="4" t="str">
        <f>IF(Ugeindtastning!H51&lt;&gt;"",Ugeindtastning!H51,O47)</f>
        <v/>
      </c>
      <c r="P48" s="4" t="str">
        <f>IF(Ugeindtastning!G51&lt;&gt;"",Ugeindtastning!G51,P47)</f>
        <v/>
      </c>
      <c r="Q48" s="4" t="str">
        <f t="shared" si="2"/>
        <v/>
      </c>
      <c r="R48" s="4" t="str">
        <f>IF(OR(NOT(ISNUMBER(Ugeindtastning!I51)),P48="",P48&lt;=0),"",Ugeindtastning!I51/P48)</f>
        <v/>
      </c>
      <c r="S48" s="4" t="str">
        <f>IF(OR(Ugeindtastning!J51="",Ugeindtastning!$B$6="",Ugeindtastning!$B$6&lt;=0),"",Ugeindtastning!J51/Ugeindtastning!$B$6)</f>
        <v/>
      </c>
      <c r="T48" s="4" t="str">
        <f t="shared" si="3"/>
        <v/>
      </c>
      <c r="U48" s="4">
        <f t="shared" si="4"/>
        <v>0</v>
      </c>
      <c r="V48" s="4" t="str">
        <f t="shared" si="5"/>
        <v>Ikke registreret</v>
      </c>
      <c r="W48" s="4">
        <f t="shared" si="6"/>
        <v>0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>
        <f t="shared" si="10"/>
        <v>0</v>
      </c>
      <c r="AK48" s="4" t="e">
        <f>IF(NOT(ISNUMBER(Ugeindtastning!I51)),NA(),Ugeindtastning!I51)</f>
        <v>#N/A</v>
      </c>
      <c r="AL48" s="4" t="e">
        <f t="shared" si="11"/>
        <v>#N/A</v>
      </c>
      <c r="AM48" s="4" t="e">
        <f t="shared" si="12"/>
        <v>#N/A</v>
      </c>
      <c r="AN48" s="4" t="e">
        <f t="shared" si="13"/>
        <v>#N/A</v>
      </c>
      <c r="AO48" s="4" t="e">
        <f t="shared" si="14"/>
        <v>#N/A</v>
      </c>
      <c r="AP48" s="4" t="e">
        <f t="shared" si="15"/>
        <v>#N/A</v>
      </c>
    </row>
    <row r="49" spans="1:42" s="5" customFormat="1" ht="23" customHeight="1">
      <c r="A49" s="6" t="str">
        <f>TEXT(Ugeindtastning!A52,"dd/mm")</f>
        <v>24/05</v>
      </c>
      <c r="B49" s="143">
        <f>Ugeindtastning!B52</f>
        <v>46537</v>
      </c>
      <c r="C49" s="142">
        <f>B49-Ugeindtastning!A52+1</f>
        <v>7</v>
      </c>
      <c r="D49" s="142">
        <f>MAX(0,MIN(B49,$C$5)-MAX(Ugeindtastning!A52,$B$5)+1)</f>
        <v>0</v>
      </c>
      <c r="E49" s="142">
        <f>MAX(0,MIN(B49,$C$6)-MAX(Ugeindtastning!A52,$B$6)+1)</f>
        <v>0</v>
      </c>
      <c r="F49" s="142">
        <f>MAX(0,MIN(B49,$C$7)-MAX(Ugeindtastning!A52,$B$7)+1)</f>
        <v>7</v>
      </c>
      <c r="G49" s="142">
        <f t="shared" si="0"/>
        <v>7</v>
      </c>
      <c r="H49" s="142">
        <f t="shared" si="1"/>
        <v>9</v>
      </c>
      <c r="I49" s="142" t="str">
        <f>IF(NOT(ISNUMBER(Ugeindtastning!D52)),"",Ugeindtastning!D52)</f>
        <v/>
      </c>
      <c r="J49" s="142">
        <f>SUM(G$12:G49)</f>
        <v>174</v>
      </c>
      <c r="K49" s="142">
        <f>SUM(H$12:H49)</f>
        <v>250</v>
      </c>
      <c r="L49" s="57" t="e">
        <f>IF(OR(B49&gt;$B$2,COUNT(I$12:I49)&lt;ROWS(I$12:I49)),NA(),SUM(I$12:I49))</f>
        <v>#N/A</v>
      </c>
      <c r="M49" s="4" t="e">
        <f>IF(NOT(ISNUMBER(Ugeindtastning!E52)),NA(),Ugeindtastning!E52)</f>
        <v>#N/A</v>
      </c>
      <c r="N49" s="4" t="e">
        <f>IF(NOT(ISNUMBER(Ugeindtastning!F52)),NA(),Ugeindtastning!F52)</f>
        <v>#N/A</v>
      </c>
      <c r="O49" s="4" t="str">
        <f>IF(Ugeindtastning!H52&lt;&gt;"",Ugeindtastning!H52,O48)</f>
        <v/>
      </c>
      <c r="P49" s="4" t="str">
        <f>IF(Ugeindtastning!G52&lt;&gt;"",Ugeindtastning!G52,P48)</f>
        <v/>
      </c>
      <c r="Q49" s="4" t="str">
        <f t="shared" si="2"/>
        <v/>
      </c>
      <c r="R49" s="4" t="str">
        <f>IF(OR(NOT(ISNUMBER(Ugeindtastning!I52)),P49="",P49&lt;=0),"",Ugeindtastning!I52/P49)</f>
        <v/>
      </c>
      <c r="S49" s="4" t="str">
        <f>IF(OR(Ugeindtastning!J52="",Ugeindtastning!$B$6="",Ugeindtastning!$B$6&lt;=0),"",Ugeindtastning!J52/Ugeindtastning!$B$6)</f>
        <v/>
      </c>
      <c r="T49" s="4" t="str">
        <f t="shared" si="3"/>
        <v/>
      </c>
      <c r="U49" s="4">
        <f t="shared" si="4"/>
        <v>0</v>
      </c>
      <c r="V49" s="4" t="str">
        <f t="shared" si="5"/>
        <v>Ikke registreret</v>
      </c>
      <c r="W49" s="4">
        <f t="shared" si="6"/>
        <v>0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>
        <f t="shared" si="10"/>
        <v>0</v>
      </c>
      <c r="AK49" s="4" t="e">
        <f>IF(NOT(ISNUMBER(Ugeindtastning!I52)),NA(),Ugeindtastning!I52)</f>
        <v>#N/A</v>
      </c>
      <c r="AL49" s="4" t="e">
        <f t="shared" si="11"/>
        <v>#N/A</v>
      </c>
      <c r="AM49" s="4" t="e">
        <f t="shared" si="12"/>
        <v>#N/A</v>
      </c>
      <c r="AN49" s="4" t="e">
        <f t="shared" si="13"/>
        <v>#N/A</v>
      </c>
      <c r="AO49" s="4" t="e">
        <f t="shared" si="14"/>
        <v>#N/A</v>
      </c>
      <c r="AP49" s="4" t="e">
        <f t="shared" si="15"/>
        <v>#N/A</v>
      </c>
    </row>
    <row r="50" spans="1:42" s="5" customFormat="1" ht="23" customHeight="1">
      <c r="A50" s="6" t="str">
        <f>TEXT(Ugeindtastning!A53,"dd/mm")</f>
        <v>31/05</v>
      </c>
      <c r="B50" s="143">
        <f>Ugeindtastning!B53</f>
        <v>46544</v>
      </c>
      <c r="C50" s="142">
        <f>B50-Ugeindtastning!A53+1</f>
        <v>7</v>
      </c>
      <c r="D50" s="142">
        <f>MAX(0,MIN(B50,$C$5)-MAX(Ugeindtastning!A53,$B$5)+1)</f>
        <v>0</v>
      </c>
      <c r="E50" s="142">
        <f>MAX(0,MIN(B50,$C$6)-MAX(Ugeindtastning!A53,$B$6)+1)</f>
        <v>0</v>
      </c>
      <c r="F50" s="142">
        <f>MAX(0,MIN(B50,$C$7)-MAX(Ugeindtastning!A53,$B$7)+1)</f>
        <v>7</v>
      </c>
      <c r="G50" s="142">
        <f t="shared" si="0"/>
        <v>7</v>
      </c>
      <c r="H50" s="142">
        <f t="shared" si="1"/>
        <v>9</v>
      </c>
      <c r="I50" s="142" t="str">
        <f>IF(NOT(ISNUMBER(Ugeindtastning!D53)),"",Ugeindtastning!D53)</f>
        <v/>
      </c>
      <c r="J50" s="142">
        <f>SUM(G$12:G50)</f>
        <v>181</v>
      </c>
      <c r="K50" s="142">
        <f>SUM(H$12:H50)</f>
        <v>259</v>
      </c>
      <c r="L50" s="57" t="e">
        <f>IF(OR(B50&gt;$B$2,COUNT(I$12:I50)&lt;ROWS(I$12:I50)),NA(),SUM(I$12:I50))</f>
        <v>#N/A</v>
      </c>
      <c r="M50" s="4" t="e">
        <f>IF(NOT(ISNUMBER(Ugeindtastning!E53)),NA(),Ugeindtastning!E53)</f>
        <v>#N/A</v>
      </c>
      <c r="N50" s="4" t="e">
        <f>IF(NOT(ISNUMBER(Ugeindtastning!F53)),NA(),Ugeindtastning!F53)</f>
        <v>#N/A</v>
      </c>
      <c r="O50" s="4" t="str">
        <f>IF(Ugeindtastning!H53&lt;&gt;"",Ugeindtastning!H53,O49)</f>
        <v/>
      </c>
      <c r="P50" s="4" t="str">
        <f>IF(Ugeindtastning!G53&lt;&gt;"",Ugeindtastning!G53,P49)</f>
        <v/>
      </c>
      <c r="Q50" s="4" t="str">
        <f t="shared" si="2"/>
        <v/>
      </c>
      <c r="R50" s="4" t="str">
        <f>IF(OR(NOT(ISNUMBER(Ugeindtastning!I53)),P50="",P50&lt;=0),"",Ugeindtastning!I53/P50)</f>
        <v/>
      </c>
      <c r="S50" s="4" t="str">
        <f>IF(OR(Ugeindtastning!J53="",Ugeindtastning!$B$6="",Ugeindtastning!$B$6&lt;=0),"",Ugeindtastning!J53/Ugeindtastning!$B$6)</f>
        <v/>
      </c>
      <c r="T50" s="4" t="str">
        <f t="shared" si="3"/>
        <v/>
      </c>
      <c r="U50" s="4">
        <f t="shared" si="4"/>
        <v>0</v>
      </c>
      <c r="V50" s="4" t="str">
        <f t="shared" si="5"/>
        <v>Ikke registreret</v>
      </c>
      <c r="W50" s="4">
        <f t="shared" si="6"/>
        <v>0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>
        <f t="shared" si="10"/>
        <v>0</v>
      </c>
      <c r="AK50" s="4" t="e">
        <f>IF(NOT(ISNUMBER(Ugeindtastning!I53)),NA(),Ugeindtastning!I53)</f>
        <v>#N/A</v>
      </c>
      <c r="AL50" s="4" t="e">
        <f t="shared" si="11"/>
        <v>#N/A</v>
      </c>
      <c r="AM50" s="4" t="e">
        <f t="shared" si="12"/>
        <v>#N/A</v>
      </c>
      <c r="AN50" s="4" t="e">
        <f t="shared" si="13"/>
        <v>#N/A</v>
      </c>
      <c r="AO50" s="4" t="e">
        <f t="shared" si="14"/>
        <v>#N/A</v>
      </c>
      <c r="AP50" s="4" t="e">
        <f t="shared" si="15"/>
        <v>#N/A</v>
      </c>
    </row>
    <row r="51" spans="1:42" s="5" customFormat="1" ht="23" customHeight="1">
      <c r="A51" s="6" t="str">
        <f>TEXT(Ugeindtastning!A54,"dd/mm")</f>
        <v>07/06</v>
      </c>
      <c r="B51" s="143">
        <f>Ugeindtastning!B54</f>
        <v>46546</v>
      </c>
      <c r="C51" s="142">
        <f>B51-Ugeindtastning!A54+1</f>
        <v>2</v>
      </c>
      <c r="D51" s="142">
        <f>MAX(0,MIN(B51,$C$5)-MAX(Ugeindtastning!A54,$B$5)+1)</f>
        <v>0</v>
      </c>
      <c r="E51" s="142">
        <f>MAX(0,MIN(B51,$C$6)-MAX(Ugeindtastning!A54,$B$6)+1)</f>
        <v>0</v>
      </c>
      <c r="F51" s="142">
        <f>MAX(0,MIN(B51,$C$7)-MAX(Ugeindtastning!A54,$B$7)+1)</f>
        <v>2</v>
      </c>
      <c r="G51" s="142">
        <f t="shared" si="0"/>
        <v>2</v>
      </c>
      <c r="H51" s="142">
        <f t="shared" si="1"/>
        <v>2.5714285714285716</v>
      </c>
      <c r="I51" s="142" t="str">
        <f>IF(NOT(ISNUMBER(Ugeindtastning!D54)),"",Ugeindtastning!D54)</f>
        <v/>
      </c>
      <c r="J51" s="142">
        <f>SUM(G$12:G51)</f>
        <v>183</v>
      </c>
      <c r="K51" s="142">
        <f>SUM(H$12:H51)</f>
        <v>261.57142857142856</v>
      </c>
      <c r="L51" s="57" t="e">
        <f>IF(OR(B51&gt;$B$2,COUNT(I$12:I51)&lt;ROWS(I$12:I51)),NA(),SUM(I$12:I51))</f>
        <v>#N/A</v>
      </c>
      <c r="M51" s="4" t="e">
        <f>IF(NOT(ISNUMBER(Ugeindtastning!E54)),NA(),Ugeindtastning!E54)</f>
        <v>#N/A</v>
      </c>
      <c r="N51" s="4" t="e">
        <f>IF(NOT(ISNUMBER(Ugeindtastning!F54)),NA(),Ugeindtastning!F54)</f>
        <v>#N/A</v>
      </c>
      <c r="O51" s="4" t="str">
        <f>IF(Ugeindtastning!H54&lt;&gt;"",Ugeindtastning!H54,O50)</f>
        <v/>
      </c>
      <c r="P51" s="4" t="str">
        <f>IF(Ugeindtastning!G54&lt;&gt;"",Ugeindtastning!G54,P50)</f>
        <v/>
      </c>
      <c r="Q51" s="4" t="str">
        <f t="shared" si="2"/>
        <v/>
      </c>
      <c r="R51" s="4" t="str">
        <f>IF(OR(NOT(ISNUMBER(Ugeindtastning!I54)),P51="",P51&lt;=0),"",Ugeindtastning!I54/P51)</f>
        <v/>
      </c>
      <c r="S51" s="4" t="str">
        <f>IF(OR(Ugeindtastning!J54="",Ugeindtastning!$B$6="",Ugeindtastning!$B$6&lt;=0),"",Ugeindtastning!J54/Ugeindtastning!$B$6)</f>
        <v/>
      </c>
      <c r="T51" s="4" t="str">
        <f t="shared" si="3"/>
        <v/>
      </c>
      <c r="U51" s="4">
        <f t="shared" si="4"/>
        <v>0</v>
      </c>
      <c r="V51" s="4" t="str">
        <f t="shared" si="5"/>
        <v>Ikke registreret</v>
      </c>
      <c r="W51" s="4">
        <f t="shared" si="6"/>
        <v>0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>
        <f t="shared" si="10"/>
        <v>0</v>
      </c>
      <c r="AK51" s="4" t="e">
        <f>IF(NOT(ISNUMBER(Ugeindtastning!I54)),NA(),Ugeindtastning!I54)</f>
        <v>#N/A</v>
      </c>
      <c r="AL51" s="4" t="e">
        <f t="shared" si="11"/>
        <v>#N/A</v>
      </c>
      <c r="AM51" s="4" t="e">
        <f t="shared" si="12"/>
        <v>#N/A</v>
      </c>
      <c r="AN51" s="4" t="e">
        <f t="shared" si="13"/>
        <v>#N/A</v>
      </c>
      <c r="AO51" s="4" t="e">
        <f t="shared" si="14"/>
        <v>#N/A</v>
      </c>
      <c r="AP51" s="4" t="e">
        <f t="shared" si="15"/>
        <v>#N/A</v>
      </c>
    </row>
    <row r="52" spans="1:42" ht="23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3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3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3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23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23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23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23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3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3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3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3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3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3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3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3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3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3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3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3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3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3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3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3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3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3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23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23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23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23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23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23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23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23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23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23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23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23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23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23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23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23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2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23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23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23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23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23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23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23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23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ht="23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</sheetData>
  <sheetProtection sheet="1" objects="1" scenario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7FFBB4-0AE6-8A45-82C1-049A355D1B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Navngivne områder</vt:lpstr>
      </vt:variant>
      <vt:variant>
        <vt:i4>6</vt:i4>
      </vt:variant>
    </vt:vector>
  </HeadingPairs>
  <TitlesOfParts>
    <vt:vector size="14" baseType="lpstr">
      <vt:lpstr>Ugeindtastning</vt:lpstr>
      <vt:lpstr>Træningsoverblik</vt:lpstr>
      <vt:lpstr>DASHBOARD</vt:lpstr>
      <vt:lpstr>FTP-niveauer og watt pr. kg</vt:lpstr>
      <vt:lpstr>Ekstra - Udfyld din profil</vt:lpstr>
      <vt:lpstr>Scenario med tid på Alpe d'Huez</vt:lpstr>
      <vt:lpstr>Forudsætninger og beregninger</vt:lpstr>
      <vt:lpstr>Beregninger</vt:lpstr>
      <vt:lpstr>'Ekstra - Udfyld din profil'!Udskriftsområde</vt:lpstr>
      <vt:lpstr>'FTP-niveauer og watt pr. kg'!Udskriftsområde</vt:lpstr>
      <vt:lpstr>'Scenario med tid på Alpe d''Huez'!Udskriftsområde</vt:lpstr>
      <vt:lpstr>Træningsoverblik!Udskriftsområde</vt:lpstr>
      <vt:lpstr>Ugeindtastning!Udskriftsområde</vt:lpstr>
      <vt:lpstr>Ugeindtastning!Udskriftstitler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Cykelnervens TræningsManager 2027</dc:title>
  <dc:subject/>
  <dc:creator>Bo Velds</dc:creator>
  <cp:keywords/>
  <dc:description/>
  <cp:lastModifiedBy>Pernille Hauerslev</cp:lastModifiedBy>
  <cp:lastPrinted>2026-09-23T16:29:06Z</cp:lastPrinted>
  <dcterms:created xsi:type="dcterms:W3CDTF">2026-09-17T18:34:38Z</dcterms:created>
  <dcterms:modified xsi:type="dcterms:W3CDTF">2026-10-02T14:18:31Z</dcterms:modified>
  <cp:category/>
</cp:coreProperties>
</file>